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christian.medina\Desktop\"/>
    </mc:Choice>
  </mc:AlternateContent>
  <xr:revisionPtr revIDLastSave="0" documentId="8_{0E32A356-B70D-4698-9994-97CFDEE80795}" xr6:coauthVersionLast="36" xr6:coauthVersionMax="36" xr10:uidLastSave="{00000000-0000-0000-0000-000000000000}"/>
  <bookViews>
    <workbookView xWindow="0" yWindow="0" windowWidth="20490" windowHeight="7545" tabRatio="839" firstSheet="1" activeTab="1" xr2:uid="{00000000-000D-0000-FFFF-FFFF00000000}"/>
  </bookViews>
  <sheets>
    <sheet name="FORMULAS" sheetId="11" state="hidden" r:id="rId1"/>
    <sheet name="MAPA DE RIESGOS PROCESOS" sheetId="1" r:id="rId2"/>
    <sheet name="TIPOLOGÍA DE RIESGOS" sheetId="17" r:id="rId3"/>
    <sheet name="PROBABILIDAD" sheetId="12" r:id="rId4"/>
    <sheet name="IMPACTO GESTIÓN" sheetId="13" r:id="rId5"/>
    <sheet name="IMPACTO CORRUPCIÓN" sheetId="18" r:id="rId6"/>
    <sheet name="IMPACTO SEGURIDAD I" sheetId="14" r:id="rId7"/>
    <sheet name="EJEMPLO CONTROLES" sheetId="15" r:id="rId8"/>
    <sheet name="OPCIONES DE MANEJO DEL RIESGO" sheetId="19" r:id="rId9"/>
    <sheet name="MAPA DE CALOR"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cciones_no_autorizadas">FORMULAS!$F$19:$F$20</definedName>
    <definedName name="_xlnm.Print_Area" localSheetId="7">'EJEMPLO CONTROLES'!$A$1:$G$18</definedName>
    <definedName name="_xlnm.Print_Area" localSheetId="5">'IMPACTO CORRUPCIÓN'!$A$1:$G$26</definedName>
    <definedName name="_xlnm.Print_Area" localSheetId="4">'IMPACTO GESTIÓN'!$A$1:$E$48</definedName>
    <definedName name="_xlnm.Print_Area" localSheetId="6">'IMPACTO SEGURIDAD I'!$A$1:$F$19</definedName>
    <definedName name="_xlnm.Print_Area" localSheetId="9">'MAPA DE CALOR'!$A$1:$I$19</definedName>
    <definedName name="_xlnm.Print_Area" localSheetId="1">'MAPA DE RIESGOS PROCESOS'!$A$1:$BJ$240</definedName>
    <definedName name="_xlnm.Print_Area" localSheetId="8">'OPCIONES DE MANEJO DEL RIESGO'!$A$1:$D$31</definedName>
    <definedName name="_xlnm.Print_Area" localSheetId="3">PROBABILIDAD!$A$1:$G$9</definedName>
    <definedName name="_xlnm.Print_Area" localSheetId="2">'TIPOLOGÍA DE RIESGOS'!$A$1:$D$11</definedName>
    <definedName name="clasificaciónriesgos" localSheetId="6">#REF!</definedName>
    <definedName name="clasificaciónriesgos">#REF!</definedName>
    <definedName name="códigos" localSheetId="6">#REF!</definedName>
    <definedName name="códigos">#REF!</definedName>
    <definedName name="Compromiso_de_la_informacion">FORMULAS!$F$12:$F$13</definedName>
    <definedName name="Compromiso_de_las_funciones">FORMULAS!$F$21:$F$22</definedName>
    <definedName name="Corrupcion">FORMULAS!$D$11</definedName>
    <definedName name="Daño_fisico">FORMULAS!$F$4:$F$5</definedName>
    <definedName name="Direccionamiento_Estratégico" localSheetId="6">#REF!</definedName>
    <definedName name="Direccionamiento_Estratégico">#REF!</definedName>
    <definedName name="económicos" localSheetId="6">#REF!</definedName>
    <definedName name="económicos">#REF!</definedName>
    <definedName name="Eventos_naturales">FORMULAS!$F$6:$F$7</definedName>
    <definedName name="externo" localSheetId="6">#REF!</definedName>
    <definedName name="externo">#REF!</definedName>
    <definedName name="externos2" localSheetId="6">#REF!</definedName>
    <definedName name="externos2">#REF!</definedName>
    <definedName name="factores" localSheetId="6">#REF!</definedName>
    <definedName name="factores">#REF!</definedName>
    <definedName name="Fallas_tecnicas">FORMULAS!$F$14:$F$18</definedName>
    <definedName name="Gestion">FORMULAS!$D$4:$D$9</definedName>
    <definedName name="impacto" localSheetId="5">#REF!</definedName>
    <definedName name="impacto" localSheetId="4">#REF!</definedName>
    <definedName name="impacto" localSheetId="6">#REF!</definedName>
    <definedName name="impacto">FORMULAS!$J$4:$J$8</definedName>
    <definedName name="impactoco" localSheetId="6">#REF!</definedName>
    <definedName name="impactoco">#REF!</definedName>
    <definedName name="impactocorrupcion">FORMULAS!$I$4:$I$6</definedName>
    <definedName name="infraestructura" localSheetId="6">#REF!</definedName>
    <definedName name="infraestructura">#REF!</definedName>
    <definedName name="interno" localSheetId="6">#REF!</definedName>
    <definedName name="interno">#REF!</definedName>
    <definedName name="macroprocesos" localSheetId="6">#REF!</definedName>
    <definedName name="macroprocesos">#REF!</definedName>
    <definedName name="medio_ambientales" localSheetId="6">#REF!</definedName>
    <definedName name="medio_ambientales">#REF!</definedName>
    <definedName name="opciondelriesgo" localSheetId="7">[1]FORMULAS!$K$4:$K$7</definedName>
    <definedName name="opciondelriesgo" localSheetId="5">[2]FORMULAS!$K$4:$K$7</definedName>
    <definedName name="opciondelriesgo" localSheetId="4">[1]FORMULAS!$K$4:$K$7</definedName>
    <definedName name="opciondelriesgo" localSheetId="6">[1]FORMULAS!$K$4:$K$7</definedName>
    <definedName name="opciondelriesgo" localSheetId="9">[1]FORMULAS!$K$4:$K$7</definedName>
    <definedName name="opciondelriesgo" localSheetId="8">[2]FORMULAS!$K$4:$K$7</definedName>
    <definedName name="opciondelriesgo" localSheetId="3">[1]FORMULAS!$K$4:$K$7</definedName>
    <definedName name="opciondelriesgo" localSheetId="2">[2]FORMULAS!$K$4:$K$7</definedName>
    <definedName name="opciondelriesgo">FORMULAS!$K$4:$K$7</definedName>
    <definedName name="Perdidas_de_los_servicios_esenciales">FORMULAS!$F$8:$F$9</definedName>
    <definedName name="personal" localSheetId="6">#REF!</definedName>
    <definedName name="personal">#REF!</definedName>
    <definedName name="Perturbacion_debida_a_la_radiacion">FORMULAS!$F$10:$F$11</definedName>
    <definedName name="políticos" localSheetId="6">#REF!</definedName>
    <definedName name="políticos">#REF!</definedName>
    <definedName name="probabilidad" localSheetId="7">[1]FORMULAS!$G$4:$G$8</definedName>
    <definedName name="probabilidad" localSheetId="5">#REF!</definedName>
    <definedName name="probabilidad" localSheetId="4">#REF!</definedName>
    <definedName name="probabilidad" localSheetId="6">#REF!</definedName>
    <definedName name="probabilidad" localSheetId="9">[1]FORMULAS!$G$4:$G$8</definedName>
    <definedName name="probabilidad" localSheetId="8">[2]FORMULAS!$G$4:$G$8</definedName>
    <definedName name="probabilidad" localSheetId="3">[1]FORMULAS!$G$4:$G$8</definedName>
    <definedName name="probabilidad" localSheetId="2">[2]FORMULAS!$G$4:$G$8</definedName>
    <definedName name="probabilidad">FORMULAS!$G$4:$G$8</definedName>
    <definedName name="proceso" localSheetId="6">#REF!</definedName>
    <definedName name="proceso">#REF!</definedName>
    <definedName name="procesos" localSheetId="7">[1]FORMULAS!$B$4:$B$20</definedName>
    <definedName name="procesos" localSheetId="5">#REF!</definedName>
    <definedName name="procesos" localSheetId="4">#REF!</definedName>
    <definedName name="procesos" localSheetId="6">#REF!</definedName>
    <definedName name="procesos" localSheetId="9">[1]FORMULAS!$B$4:$B$20</definedName>
    <definedName name="procesos" localSheetId="8">[2]FORMULAS!$B$4:$B$20</definedName>
    <definedName name="procesos" localSheetId="3">[1]FORMULAS!$B$4:$B$20</definedName>
    <definedName name="procesos" localSheetId="2">[2]FORMULAS!$B$4:$B$20</definedName>
    <definedName name="procesos">FORMULAS!$B$4:$B$20</definedName>
    <definedName name="Seguridad_de_la_informacion">FORMULAS!$D$13:$D$15</definedName>
    <definedName name="sociales" localSheetId="6">#REF!</definedName>
    <definedName name="sociales">#REF!</definedName>
    <definedName name="tecnología" localSheetId="6">#REF!</definedName>
    <definedName name="tecnología">#REF!</definedName>
    <definedName name="tecnológicos" localSheetId="6">#REF!</definedName>
    <definedName name="tecnológicos">#REF!</definedName>
    <definedName name="tipo_de_amenaza" localSheetId="7">[1]FORMULAS!$E$4:$E$11</definedName>
    <definedName name="tipo_de_amenaza" localSheetId="5">[2]FORMULAS!$E$4:$E$11</definedName>
    <definedName name="tipo_de_amenaza" localSheetId="4">[1]FORMULAS!$E$4:$E$11</definedName>
    <definedName name="tipo_de_amenaza" localSheetId="6">[1]FORMULAS!$E$4:$E$11</definedName>
    <definedName name="tipo_de_amenaza" localSheetId="9">[1]FORMULAS!$E$4:$E$11</definedName>
    <definedName name="tipo_de_amenaza" localSheetId="8">[2]FORMULAS!$E$4:$E$11</definedName>
    <definedName name="tipo_de_amenaza" localSheetId="3">[1]FORMULAS!$E$4:$E$11</definedName>
    <definedName name="tipo_de_amenaza" localSheetId="2">[2]FORMULAS!$E$4:$E$11</definedName>
    <definedName name="tipo_de_amenaza">FORMULAS!$E$4:$E$11</definedName>
    <definedName name="tipo_de_riesgos" localSheetId="7">[1]FORMULAS!$C$4:$C$6</definedName>
    <definedName name="tipo_de_riesgos" localSheetId="5">[2]FORMULAS!$C$4:$C$6</definedName>
    <definedName name="tipo_de_riesgos" localSheetId="4">[1]FORMULAS!$C$4:$C$6</definedName>
    <definedName name="tipo_de_riesgos" localSheetId="6">[1]FORMULAS!$C$4:$C$6</definedName>
    <definedName name="tipo_de_riesgos" localSheetId="9">[1]FORMULAS!$C$4:$C$6</definedName>
    <definedName name="tipo_de_riesgos" localSheetId="8">[2]FORMULAS!$C$4:$C$6</definedName>
    <definedName name="tipo_de_riesgos" localSheetId="3">[1]FORMULAS!$C$4:$C$6</definedName>
    <definedName name="tipo_de_riesgos" localSheetId="2">[2]FORMULAS!$C$4:$C$6</definedName>
    <definedName name="tipo_de_riesgos">FORMULAS!$C$4:$C$6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235" i="1" l="1"/>
  <c r="AG235" i="1"/>
  <c r="AE235" i="1"/>
  <c r="AC235" i="1"/>
  <c r="AA235" i="1"/>
  <c r="Y235" i="1"/>
  <c r="W235" i="1"/>
  <c r="U235" i="1"/>
  <c r="AH235" i="1" s="1"/>
  <c r="AI235" i="1" s="1"/>
  <c r="AL235" i="1" s="1"/>
  <c r="AK234" i="1"/>
  <c r="AG234" i="1"/>
  <c r="AE234" i="1"/>
  <c r="AC234" i="1"/>
  <c r="AA234" i="1"/>
  <c r="Y234" i="1"/>
  <c r="W234" i="1"/>
  <c r="U234" i="1"/>
  <c r="AH234" i="1" s="1"/>
  <c r="AI234" i="1" s="1"/>
  <c r="AL234" i="1" s="1"/>
  <c r="AM234" i="1" s="1"/>
  <c r="AN234" i="1" s="1"/>
  <c r="AY233" i="1"/>
  <c r="AZ233" i="1" s="1"/>
  <c r="AK233" i="1"/>
  <c r="AG233" i="1"/>
  <c r="AE233" i="1"/>
  <c r="AC233" i="1"/>
  <c r="AA233" i="1"/>
  <c r="Y233" i="1"/>
  <c r="W233" i="1"/>
  <c r="U233" i="1"/>
  <c r="AH233" i="1" s="1"/>
  <c r="AI233" i="1" s="1"/>
  <c r="AL233" i="1" s="1"/>
  <c r="AM233" i="1" s="1"/>
  <c r="AN233" i="1" s="1"/>
  <c r="Q233" i="1"/>
  <c r="P233" i="1"/>
  <c r="M233" i="1"/>
  <c r="AK232" i="1"/>
  <c r="AG232" i="1"/>
  <c r="AE232" i="1"/>
  <c r="AC232" i="1"/>
  <c r="AA232" i="1"/>
  <c r="Y232" i="1"/>
  <c r="W232" i="1"/>
  <c r="U232" i="1"/>
  <c r="AH232" i="1" s="1"/>
  <c r="AI232" i="1" s="1"/>
  <c r="AL232" i="1" s="1"/>
  <c r="AC231" i="1"/>
  <c r="AA231" i="1"/>
  <c r="Y231" i="1"/>
  <c r="W231" i="1"/>
  <c r="AK230" i="1"/>
  <c r="AG230" i="1"/>
  <c r="AE230" i="1"/>
  <c r="AC230" i="1"/>
  <c r="AA230" i="1"/>
  <c r="Y230" i="1"/>
  <c r="W230" i="1"/>
  <c r="AH230" i="1" s="1"/>
  <c r="AI230" i="1" s="1"/>
  <c r="AL230" i="1" s="1"/>
  <c r="AM230" i="1" s="1"/>
  <c r="AN230" i="1" s="1"/>
  <c r="U230" i="1"/>
  <c r="AY229" i="1"/>
  <c r="AZ229" i="1" s="1"/>
  <c r="AK229" i="1"/>
  <c r="AG229" i="1"/>
  <c r="AE229" i="1"/>
  <c r="AC229" i="1"/>
  <c r="AA229" i="1"/>
  <c r="Y229" i="1"/>
  <c r="W229" i="1"/>
  <c r="U229" i="1"/>
  <c r="AH229" i="1" s="1"/>
  <c r="AI229" i="1" s="1"/>
  <c r="AL229" i="1" s="1"/>
  <c r="AM229" i="1" s="1"/>
  <c r="AN229" i="1" s="1"/>
  <c r="Q229" i="1"/>
  <c r="P229" i="1"/>
  <c r="M229" i="1"/>
  <c r="AZ227" i="1"/>
  <c r="AY227" i="1"/>
  <c r="AK227" i="1"/>
  <c r="AG227" i="1"/>
  <c r="AE227" i="1"/>
  <c r="AC227" i="1"/>
  <c r="AA227" i="1"/>
  <c r="Y227" i="1"/>
  <c r="W227" i="1"/>
  <c r="U227" i="1"/>
  <c r="AH227" i="1" s="1"/>
  <c r="AI227" i="1" s="1"/>
  <c r="AL227" i="1" s="1"/>
  <c r="AM227" i="1" s="1"/>
  <c r="AN227" i="1" s="1"/>
  <c r="AP227" i="1" s="1"/>
  <c r="AQ227" i="1" s="1"/>
  <c r="AT227" i="1" s="1"/>
  <c r="P227" i="1"/>
  <c r="Q227" i="1" s="1"/>
  <c r="M227" i="1"/>
  <c r="AK226" i="1"/>
  <c r="AG226" i="1"/>
  <c r="AE226" i="1"/>
  <c r="AC226" i="1"/>
  <c r="AA226" i="1"/>
  <c r="Y226" i="1"/>
  <c r="W226" i="1"/>
  <c r="U226" i="1"/>
  <c r="AH226" i="1" s="1"/>
  <c r="AI226" i="1" s="1"/>
  <c r="AL226" i="1" s="1"/>
  <c r="AM226" i="1" s="1"/>
  <c r="AN226" i="1" s="1"/>
  <c r="AY225" i="1"/>
  <c r="AZ225" i="1" s="1"/>
  <c r="AK225" i="1"/>
  <c r="AG225" i="1"/>
  <c r="AE225" i="1"/>
  <c r="AC225" i="1"/>
  <c r="AA225" i="1"/>
  <c r="AH225" i="1" s="1"/>
  <c r="AI225" i="1" s="1"/>
  <c r="AL225" i="1" s="1"/>
  <c r="AM225" i="1" s="1"/>
  <c r="AN225" i="1" s="1"/>
  <c r="Y225" i="1"/>
  <c r="W225" i="1"/>
  <c r="U225" i="1"/>
  <c r="Q225" i="1"/>
  <c r="P225" i="1"/>
  <c r="M225" i="1"/>
  <c r="AK224" i="1"/>
  <c r="AG224" i="1"/>
  <c r="AE224" i="1"/>
  <c r="AC224" i="1"/>
  <c r="AA224" i="1"/>
  <c r="AH224" i="1" s="1"/>
  <c r="AI224" i="1" s="1"/>
  <c r="AL224" i="1" s="1"/>
  <c r="AM224" i="1" s="1"/>
  <c r="AN224" i="1" s="1"/>
  <c r="Y224" i="1"/>
  <c r="W224" i="1"/>
  <c r="U224" i="1"/>
  <c r="AK223" i="1"/>
  <c r="AG223" i="1"/>
  <c r="AE223" i="1"/>
  <c r="AC223" i="1"/>
  <c r="AA223" i="1"/>
  <c r="Y223" i="1"/>
  <c r="W223" i="1"/>
  <c r="U223" i="1"/>
  <c r="AH223" i="1" s="1"/>
  <c r="AI223" i="1" s="1"/>
  <c r="AL223" i="1" s="1"/>
  <c r="AM223" i="1" s="1"/>
  <c r="AN223" i="1" s="1"/>
  <c r="AK222" i="1"/>
  <c r="AG222" i="1"/>
  <c r="AE222" i="1"/>
  <c r="AC222" i="1"/>
  <c r="AA222" i="1"/>
  <c r="Y222" i="1"/>
  <c r="W222" i="1"/>
  <c r="U222" i="1"/>
  <c r="AH222" i="1" s="1"/>
  <c r="AI222" i="1" s="1"/>
  <c r="AL222" i="1" s="1"/>
  <c r="AM222" i="1" s="1"/>
  <c r="AN222" i="1" s="1"/>
  <c r="AZ221" i="1"/>
  <c r="AY221" i="1"/>
  <c r="AK221" i="1"/>
  <c r="AG221" i="1"/>
  <c r="AE221" i="1"/>
  <c r="AC221" i="1"/>
  <c r="AA221" i="1"/>
  <c r="AH221" i="1" s="1"/>
  <c r="AI221" i="1" s="1"/>
  <c r="AL221" i="1" s="1"/>
  <c r="AM221" i="1" s="1"/>
  <c r="AN221" i="1" s="1"/>
  <c r="Y221" i="1"/>
  <c r="W221" i="1"/>
  <c r="U221" i="1"/>
  <c r="Q221" i="1"/>
  <c r="P221" i="1"/>
  <c r="M221" i="1"/>
  <c r="AM232" i="1" l="1"/>
  <c r="AN232" i="1" s="1"/>
  <c r="AP229" i="1" s="1"/>
  <c r="AQ229" i="1" s="1"/>
  <c r="AT229" i="1" s="1"/>
  <c r="AO232" i="1"/>
  <c r="AP221" i="1"/>
  <c r="AQ221" i="1" s="1"/>
  <c r="AT221" i="1" s="1"/>
  <c r="AM235" i="1"/>
  <c r="AN235" i="1" s="1"/>
  <c r="AP233" i="1" s="1"/>
  <c r="AQ233" i="1" s="1"/>
  <c r="AT233" i="1" s="1"/>
  <c r="AO235" i="1"/>
  <c r="AP225" i="1"/>
  <c r="AQ225" i="1" s="1"/>
  <c r="AT225" i="1" s="1"/>
  <c r="AK220" i="1" l="1"/>
  <c r="AG220" i="1"/>
  <c r="AE220" i="1"/>
  <c r="AC220" i="1"/>
  <c r="AA220" i="1"/>
  <c r="Y220" i="1"/>
  <c r="AH220" i="1" s="1"/>
  <c r="AI220" i="1" s="1"/>
  <c r="AL220" i="1" s="1"/>
  <c r="W220" i="1"/>
  <c r="U220" i="1"/>
  <c r="AY219" i="1"/>
  <c r="AZ219" i="1" s="1"/>
  <c r="AK219" i="1"/>
  <c r="AG219" i="1"/>
  <c r="AE219" i="1"/>
  <c r="AC219" i="1"/>
  <c r="AA219" i="1"/>
  <c r="AH219" i="1" s="1"/>
  <c r="AI219" i="1" s="1"/>
  <c r="AL219" i="1" s="1"/>
  <c r="Y219" i="1"/>
  <c r="W219" i="1"/>
  <c r="U219" i="1"/>
  <c r="Q219" i="1"/>
  <c r="P219" i="1"/>
  <c r="M219" i="1"/>
  <c r="AK218" i="1"/>
  <c r="AG218" i="1"/>
  <c r="AE218" i="1"/>
  <c r="AC218" i="1"/>
  <c r="AA218" i="1"/>
  <c r="Y218" i="1"/>
  <c r="W218" i="1"/>
  <c r="U218" i="1"/>
  <c r="AY217" i="1"/>
  <c r="AT217" i="1"/>
  <c r="AK217" i="1"/>
  <c r="AG217" i="1"/>
  <c r="AE217" i="1"/>
  <c r="AC217" i="1"/>
  <c r="AA217" i="1"/>
  <c r="Y217" i="1"/>
  <c r="W217" i="1"/>
  <c r="U217" i="1"/>
  <c r="P217" i="1"/>
  <c r="M217" i="1"/>
  <c r="AK216" i="1"/>
  <c r="AG216" i="1"/>
  <c r="AE216" i="1"/>
  <c r="AC216" i="1"/>
  <c r="AA216" i="1"/>
  <c r="Y216" i="1"/>
  <c r="W216" i="1"/>
  <c r="U216" i="1"/>
  <c r="AY215" i="1"/>
  <c r="AZ215" i="1" s="1"/>
  <c r="AK215" i="1"/>
  <c r="AG215" i="1"/>
  <c r="AE215" i="1"/>
  <c r="AC215" i="1"/>
  <c r="AA215" i="1"/>
  <c r="AH215" i="1" s="1"/>
  <c r="AI215" i="1" s="1"/>
  <c r="AL215" i="1" s="1"/>
  <c r="Y215" i="1"/>
  <c r="W215" i="1"/>
  <c r="U215" i="1"/>
  <c r="Q215" i="1"/>
  <c r="P215" i="1"/>
  <c r="M215" i="1"/>
  <c r="AO219" i="1" l="1"/>
  <c r="AM219" i="1"/>
  <c r="AN219" i="1" s="1"/>
  <c r="AO220" i="1"/>
  <c r="AM220" i="1"/>
  <c r="AN220" i="1" s="1"/>
  <c r="AH218" i="1"/>
  <c r="AI218" i="1" s="1"/>
  <c r="AL218" i="1" s="1"/>
  <c r="AH216" i="1"/>
  <c r="AI216" i="1" s="1"/>
  <c r="AL216" i="1" s="1"/>
  <c r="AM216" i="1" s="1"/>
  <c r="AN216" i="1" s="1"/>
  <c r="AH217" i="1"/>
  <c r="AI217" i="1" s="1"/>
  <c r="AL217" i="1" s="1"/>
  <c r="AO217" i="1" s="1"/>
  <c r="AO218" i="1"/>
  <c r="AM218" i="1"/>
  <c r="AN218" i="1" s="1"/>
  <c r="AO215" i="1"/>
  <c r="AM215" i="1"/>
  <c r="AN215" i="1" s="1"/>
  <c r="AK214" i="1"/>
  <c r="AG214" i="1"/>
  <c r="AE214" i="1"/>
  <c r="AC214" i="1"/>
  <c r="AA214" i="1"/>
  <c r="Y214" i="1"/>
  <c r="W214" i="1"/>
  <c r="U214" i="1"/>
  <c r="AH214" i="1" s="1"/>
  <c r="AI214" i="1" s="1"/>
  <c r="AL214" i="1" s="1"/>
  <c r="AK213" i="1"/>
  <c r="AG213" i="1"/>
  <c r="AE213" i="1"/>
  <c r="AC213" i="1"/>
  <c r="AA213" i="1"/>
  <c r="Y213" i="1"/>
  <c r="W213" i="1"/>
  <c r="U213" i="1"/>
  <c r="AK212" i="1"/>
  <c r="AG212" i="1"/>
  <c r="AE212" i="1"/>
  <c r="AC212" i="1"/>
  <c r="AA212" i="1"/>
  <c r="Y212" i="1"/>
  <c r="W212" i="1"/>
  <c r="U212" i="1"/>
  <c r="AH212" i="1" s="1"/>
  <c r="AI212" i="1" s="1"/>
  <c r="AL212" i="1" s="1"/>
  <c r="AY211" i="1"/>
  <c r="AZ211" i="1" s="1"/>
  <c r="AK211" i="1"/>
  <c r="AG211" i="1"/>
  <c r="AE211" i="1"/>
  <c r="AC211" i="1"/>
  <c r="AA211" i="1"/>
  <c r="Y211" i="1"/>
  <c r="W211" i="1"/>
  <c r="U211" i="1"/>
  <c r="P211" i="1"/>
  <c r="Q211" i="1" s="1"/>
  <c r="M211" i="1"/>
  <c r="AK210" i="1"/>
  <c r="AG210" i="1"/>
  <c r="AE210" i="1"/>
  <c r="AC210" i="1"/>
  <c r="AA210" i="1"/>
  <c r="Y210" i="1"/>
  <c r="W210" i="1"/>
  <c r="U210" i="1"/>
  <c r="AK209" i="1"/>
  <c r="AG209" i="1"/>
  <c r="AE209" i="1"/>
  <c r="AC209" i="1"/>
  <c r="AA209" i="1"/>
  <c r="Y209" i="1"/>
  <c r="W209" i="1"/>
  <c r="U209" i="1"/>
  <c r="AK208" i="1"/>
  <c r="AG208" i="1"/>
  <c r="AE208" i="1"/>
  <c r="AC208" i="1"/>
  <c r="AA208" i="1"/>
  <c r="Y208" i="1"/>
  <c r="W208" i="1"/>
  <c r="U208" i="1"/>
  <c r="AY207" i="1"/>
  <c r="AZ207" i="1" s="1"/>
  <c r="AK207" i="1"/>
  <c r="AG207" i="1"/>
  <c r="AE207" i="1"/>
  <c r="AC207" i="1"/>
  <c r="AA207" i="1"/>
  <c r="Y207" i="1"/>
  <c r="W207" i="1"/>
  <c r="U207" i="1"/>
  <c r="P207" i="1"/>
  <c r="Q207" i="1" s="1"/>
  <c r="M207" i="1"/>
  <c r="AK206" i="1"/>
  <c r="AG206" i="1"/>
  <c r="AE206" i="1"/>
  <c r="AC206" i="1"/>
  <c r="AA206" i="1"/>
  <c r="Y206" i="1"/>
  <c r="W206" i="1"/>
  <c r="U206" i="1"/>
  <c r="AK205" i="1"/>
  <c r="AG205" i="1"/>
  <c r="AE205" i="1"/>
  <c r="AC205" i="1"/>
  <c r="AA205" i="1"/>
  <c r="Y205" i="1"/>
  <c r="W205" i="1"/>
  <c r="U205" i="1"/>
  <c r="AK204" i="1"/>
  <c r="AG204" i="1"/>
  <c r="AE204" i="1"/>
  <c r="AC204" i="1"/>
  <c r="AA204" i="1"/>
  <c r="Y204" i="1"/>
  <c r="W204" i="1"/>
  <c r="U204" i="1"/>
  <c r="AY203" i="1"/>
  <c r="AZ203" i="1" s="1"/>
  <c r="AK203" i="1"/>
  <c r="AG203" i="1"/>
  <c r="AE203" i="1"/>
  <c r="AC203" i="1"/>
  <c r="AA203" i="1"/>
  <c r="Y203" i="1"/>
  <c r="W203" i="1"/>
  <c r="U203" i="1"/>
  <c r="P203" i="1"/>
  <c r="Q203" i="1" s="1"/>
  <c r="M203" i="1"/>
  <c r="AK202" i="1"/>
  <c r="AG202" i="1"/>
  <c r="AE202" i="1"/>
  <c r="AC202" i="1"/>
  <c r="AA202" i="1"/>
  <c r="Y202" i="1"/>
  <c r="W202" i="1"/>
  <c r="U202" i="1"/>
  <c r="AK201" i="1"/>
  <c r="AG201" i="1"/>
  <c r="AE201" i="1"/>
  <c r="AC201" i="1"/>
  <c r="AA201" i="1"/>
  <c r="Y201" i="1"/>
  <c r="AH201" i="1" s="1"/>
  <c r="AI201" i="1" s="1"/>
  <c r="AL201" i="1" s="1"/>
  <c r="W201" i="1"/>
  <c r="U201" i="1"/>
  <c r="AL200" i="1"/>
  <c r="AM200" i="1" s="1"/>
  <c r="AN200" i="1" s="1"/>
  <c r="AG200" i="1"/>
  <c r="AE200" i="1"/>
  <c r="AC200" i="1"/>
  <c r="AA200" i="1"/>
  <c r="Y200" i="1"/>
  <c r="W200" i="1"/>
  <c r="U200" i="1"/>
  <c r="AY199" i="1"/>
  <c r="AZ199" i="1" s="1"/>
  <c r="AK199" i="1"/>
  <c r="AG199" i="1"/>
  <c r="AE199" i="1"/>
  <c r="AC199" i="1"/>
  <c r="AA199" i="1"/>
  <c r="Y199" i="1"/>
  <c r="W199" i="1"/>
  <c r="U199" i="1"/>
  <c r="P199" i="1"/>
  <c r="Q199" i="1" s="1"/>
  <c r="M199" i="1"/>
  <c r="AL198" i="1"/>
  <c r="AG198" i="1"/>
  <c r="AE198" i="1"/>
  <c r="AC198" i="1"/>
  <c r="AA198" i="1"/>
  <c r="Y198" i="1"/>
  <c r="W198" i="1"/>
  <c r="U198" i="1"/>
  <c r="AL197" i="1"/>
  <c r="AG197" i="1"/>
  <c r="AE197" i="1"/>
  <c r="AC197" i="1"/>
  <c r="AA197" i="1"/>
  <c r="Y197" i="1"/>
  <c r="W197" i="1"/>
  <c r="U197" i="1"/>
  <c r="AL196" i="1"/>
  <c r="AG196" i="1"/>
  <c r="AE196" i="1"/>
  <c r="AC196" i="1"/>
  <c r="AA196" i="1"/>
  <c r="Y196" i="1"/>
  <c r="W196" i="1"/>
  <c r="U196" i="1"/>
  <c r="BA195" i="1"/>
  <c r="AY195" i="1"/>
  <c r="AZ195" i="1" s="1"/>
  <c r="AJ195" i="1"/>
  <c r="AK195" i="1" s="1"/>
  <c r="AG195" i="1"/>
  <c r="AE195" i="1"/>
  <c r="AC195" i="1"/>
  <c r="AA195" i="1"/>
  <c r="Y195" i="1"/>
  <c r="W195" i="1"/>
  <c r="U195" i="1"/>
  <c r="AH195" i="1" s="1"/>
  <c r="AI195" i="1" s="1"/>
  <c r="P195" i="1"/>
  <c r="Q195" i="1" s="1"/>
  <c r="M195" i="1"/>
  <c r="AP219" i="1" l="1"/>
  <c r="AQ219" i="1" s="1"/>
  <c r="AT219" i="1" s="1"/>
  <c r="AV219" i="1" s="1"/>
  <c r="AO216" i="1"/>
  <c r="AH199" i="1"/>
  <c r="AI199" i="1" s="1"/>
  <c r="AL199" i="1" s="1"/>
  <c r="AO199" i="1" s="1"/>
  <c r="AH202" i="1"/>
  <c r="AI202" i="1" s="1"/>
  <c r="AL202" i="1" s="1"/>
  <c r="AH213" i="1"/>
  <c r="AI213" i="1" s="1"/>
  <c r="AL213" i="1" s="1"/>
  <c r="AM217" i="1"/>
  <c r="AN217" i="1" s="1"/>
  <c r="AP215" i="1" s="1"/>
  <c r="AQ215" i="1" s="1"/>
  <c r="AT215" i="1" s="1"/>
  <c r="AH203" i="1"/>
  <c r="AI203" i="1" s="1"/>
  <c r="AL203" i="1" s="1"/>
  <c r="AO203" i="1" s="1"/>
  <c r="AH207" i="1"/>
  <c r="AI207" i="1" s="1"/>
  <c r="AL207" i="1" s="1"/>
  <c r="AH208" i="1"/>
  <c r="AI208" i="1" s="1"/>
  <c r="AL208" i="1" s="1"/>
  <c r="AH210" i="1"/>
  <c r="AI210" i="1" s="1"/>
  <c r="AL210" i="1" s="1"/>
  <c r="AM210" i="1" s="1"/>
  <c r="AN210" i="1" s="1"/>
  <c r="AH211" i="1"/>
  <c r="AI211" i="1" s="1"/>
  <c r="AL211" i="1" s="1"/>
  <c r="AM211" i="1" s="1"/>
  <c r="AN211" i="1" s="1"/>
  <c r="AO200" i="1"/>
  <c r="AH204" i="1"/>
  <c r="AI204" i="1" s="1"/>
  <c r="AL204" i="1" s="1"/>
  <c r="AH205" i="1"/>
  <c r="AI205" i="1" s="1"/>
  <c r="AL205" i="1" s="1"/>
  <c r="AM205" i="1" s="1"/>
  <c r="AN205" i="1" s="1"/>
  <c r="AH206" i="1"/>
  <c r="AI206" i="1" s="1"/>
  <c r="AL206" i="1" s="1"/>
  <c r="AO206" i="1" s="1"/>
  <c r="AH209" i="1"/>
  <c r="AI209" i="1" s="1"/>
  <c r="AL209" i="1" s="1"/>
  <c r="AM212" i="1"/>
  <c r="AN212" i="1" s="1"/>
  <c r="AO212" i="1"/>
  <c r="AM214" i="1"/>
  <c r="AN214" i="1" s="1"/>
  <c r="AO214" i="1"/>
  <c r="AO213" i="1"/>
  <c r="AM213" i="1"/>
  <c r="AN213" i="1" s="1"/>
  <c r="AM209" i="1"/>
  <c r="AN209" i="1" s="1"/>
  <c r="AO209" i="1"/>
  <c r="AM207" i="1"/>
  <c r="AN207" i="1" s="1"/>
  <c r="AO207" i="1"/>
  <c r="AO208" i="1"/>
  <c r="AM208" i="1"/>
  <c r="AN208" i="1" s="1"/>
  <c r="AO204" i="1"/>
  <c r="AM204" i="1"/>
  <c r="AN204" i="1" s="1"/>
  <c r="AM201" i="1"/>
  <c r="AN201" i="1" s="1"/>
  <c r="AO201" i="1"/>
  <c r="AO202" i="1"/>
  <c r="AM202" i="1"/>
  <c r="AN202" i="1" s="1"/>
  <c r="AL195" i="1"/>
  <c r="AU219" i="1" l="1"/>
  <c r="AM206" i="1"/>
  <c r="AN206" i="1" s="1"/>
  <c r="AO210" i="1"/>
  <c r="AM203" i="1"/>
  <c r="AN203" i="1" s="1"/>
  <c r="AP203" i="1" s="1"/>
  <c r="AQ203" i="1" s="1"/>
  <c r="AT203" i="1" s="1"/>
  <c r="AM199" i="1"/>
  <c r="AN199" i="1" s="1"/>
  <c r="AP199" i="1" s="1"/>
  <c r="AQ199" i="1" s="1"/>
  <c r="AT199" i="1" s="1"/>
  <c r="AP211" i="1"/>
  <c r="AQ211" i="1" s="1"/>
  <c r="AT211" i="1" s="1"/>
  <c r="AV211" i="1" s="1"/>
  <c r="AO205" i="1"/>
  <c r="AV215" i="1"/>
  <c r="AU215" i="1"/>
  <c r="AP207" i="1"/>
  <c r="AQ207" i="1" s="1"/>
  <c r="AT207" i="1" s="1"/>
  <c r="AM195" i="1"/>
  <c r="AN195" i="1" s="1"/>
  <c r="AP195" i="1" s="1"/>
  <c r="AQ195" i="1" s="1"/>
  <c r="AT195" i="1" s="1"/>
  <c r="AO195" i="1"/>
  <c r="AV203" i="1" l="1"/>
  <c r="AU203" i="1"/>
  <c r="AU211" i="1"/>
  <c r="AV207" i="1"/>
  <c r="AU207" i="1"/>
  <c r="AU199" i="1"/>
  <c r="AV199" i="1"/>
  <c r="AK186" i="1" l="1"/>
  <c r="AG186" i="1"/>
  <c r="AE186" i="1"/>
  <c r="AC186" i="1"/>
  <c r="AA186" i="1"/>
  <c r="Y186" i="1"/>
  <c r="W186" i="1"/>
  <c r="U186" i="1"/>
  <c r="AH186" i="1" s="1"/>
  <c r="AI186" i="1" s="1"/>
  <c r="AL186" i="1" s="1"/>
  <c r="AK185" i="1"/>
  <c r="AG185" i="1"/>
  <c r="AE185" i="1"/>
  <c r="AC185" i="1"/>
  <c r="AA185" i="1"/>
  <c r="Y185" i="1"/>
  <c r="W185" i="1"/>
  <c r="U185" i="1"/>
  <c r="AK184" i="1"/>
  <c r="AG184" i="1"/>
  <c r="AE184" i="1"/>
  <c r="AC184" i="1"/>
  <c r="AA184" i="1"/>
  <c r="Y184" i="1"/>
  <c r="W184" i="1"/>
  <c r="U184" i="1"/>
  <c r="AY183" i="1"/>
  <c r="AZ183" i="1" s="1"/>
  <c r="AK183" i="1"/>
  <c r="AG183" i="1"/>
  <c r="AE183" i="1"/>
  <c r="AC183" i="1"/>
  <c r="AA183" i="1"/>
  <c r="Y183" i="1"/>
  <c r="W183" i="1"/>
  <c r="AH183" i="1" s="1"/>
  <c r="AI183" i="1" s="1"/>
  <c r="AL183" i="1" s="1"/>
  <c r="U183" i="1"/>
  <c r="P183" i="1"/>
  <c r="Q183" i="1" s="1"/>
  <c r="M183" i="1"/>
  <c r="AK182" i="1"/>
  <c r="AG182" i="1"/>
  <c r="AE182" i="1"/>
  <c r="AC182" i="1"/>
  <c r="AA182" i="1"/>
  <c r="Y182" i="1"/>
  <c r="W182" i="1"/>
  <c r="U182" i="1"/>
  <c r="AK181" i="1"/>
  <c r="AG181" i="1"/>
  <c r="AE181" i="1"/>
  <c r="AC181" i="1"/>
  <c r="AA181" i="1"/>
  <c r="Y181" i="1"/>
  <c r="W181" i="1"/>
  <c r="U181" i="1"/>
  <c r="AK180" i="1"/>
  <c r="AG180" i="1"/>
  <c r="AE180" i="1"/>
  <c r="AC180" i="1"/>
  <c r="AA180" i="1"/>
  <c r="Y180" i="1"/>
  <c r="W180" i="1"/>
  <c r="U180" i="1"/>
  <c r="AY179" i="1"/>
  <c r="AZ179" i="1" s="1"/>
  <c r="AK179" i="1"/>
  <c r="AG179" i="1"/>
  <c r="AE179" i="1"/>
  <c r="AC179" i="1"/>
  <c r="AA179" i="1"/>
  <c r="Y179" i="1"/>
  <c r="W179" i="1"/>
  <c r="U179" i="1"/>
  <c r="P179" i="1"/>
  <c r="Q179" i="1" s="1"/>
  <c r="M179" i="1"/>
  <c r="AH182" i="1" l="1"/>
  <c r="AI182" i="1" s="1"/>
  <c r="AL182" i="1" s="1"/>
  <c r="AH185" i="1"/>
  <c r="AI185" i="1" s="1"/>
  <c r="AL185" i="1" s="1"/>
  <c r="AO185" i="1" s="1"/>
  <c r="AH184" i="1"/>
  <c r="AI184" i="1" s="1"/>
  <c r="AL184" i="1" s="1"/>
  <c r="AM184" i="1" s="1"/>
  <c r="AN184" i="1" s="1"/>
  <c r="AH180" i="1"/>
  <c r="AI180" i="1" s="1"/>
  <c r="AL180" i="1" s="1"/>
  <c r="AH181" i="1"/>
  <c r="AI181" i="1" s="1"/>
  <c r="AL181" i="1" s="1"/>
  <c r="AH179" i="1"/>
  <c r="AI179" i="1" s="1"/>
  <c r="AL179" i="1" s="1"/>
  <c r="AO179" i="1" s="1"/>
  <c r="AM185" i="1"/>
  <c r="AN185" i="1" s="1"/>
  <c r="AM183" i="1"/>
  <c r="AN183" i="1" s="1"/>
  <c r="AO183" i="1"/>
  <c r="AO184" i="1"/>
  <c r="AO186" i="1"/>
  <c r="AM186" i="1"/>
  <c r="AN186" i="1" s="1"/>
  <c r="AO180" i="1"/>
  <c r="AM180" i="1"/>
  <c r="AN180" i="1" s="1"/>
  <c r="AM181" i="1"/>
  <c r="AN181" i="1" s="1"/>
  <c r="AO181" i="1"/>
  <c r="AO182" i="1"/>
  <c r="AM182" i="1"/>
  <c r="AN182" i="1" s="1"/>
  <c r="AM179" i="1"/>
  <c r="AN179" i="1" s="1"/>
  <c r="AP183" i="1" l="1"/>
  <c r="AQ183" i="1" s="1"/>
  <c r="AT183" i="1" s="1"/>
  <c r="AP179" i="1"/>
  <c r="AQ179" i="1" s="1"/>
  <c r="AT179" i="1" s="1"/>
  <c r="AU183" i="1" l="1"/>
  <c r="AV183" i="1"/>
  <c r="AV179" i="1"/>
  <c r="AU179" i="1"/>
  <c r="AY166" i="1" l="1"/>
  <c r="AZ166" i="1" s="1"/>
  <c r="AK166" i="1"/>
  <c r="AG166" i="1"/>
  <c r="AE166" i="1"/>
  <c r="AC166" i="1"/>
  <c r="AA166" i="1"/>
  <c r="Y166" i="1"/>
  <c r="W166" i="1"/>
  <c r="U166" i="1"/>
  <c r="Q166" i="1"/>
  <c r="P166" i="1"/>
  <c r="M166" i="1"/>
  <c r="AK165" i="1"/>
  <c r="AG165" i="1"/>
  <c r="AE165" i="1"/>
  <c r="AC165" i="1"/>
  <c r="AA165" i="1"/>
  <c r="Y165" i="1"/>
  <c r="W165" i="1"/>
  <c r="U165" i="1"/>
  <c r="AH165" i="1" s="1"/>
  <c r="AI165" i="1" s="1"/>
  <c r="AL165" i="1" s="1"/>
  <c r="AY164" i="1"/>
  <c r="AZ164" i="1" s="1"/>
  <c r="AK164" i="1"/>
  <c r="AG164" i="1"/>
  <c r="AE164" i="1"/>
  <c r="AC164" i="1"/>
  <c r="AA164" i="1"/>
  <c r="Y164" i="1"/>
  <c r="W164" i="1"/>
  <c r="U164" i="1"/>
  <c r="P164" i="1"/>
  <c r="Q164" i="1" s="1"/>
  <c r="M164" i="1"/>
  <c r="AK194" i="1"/>
  <c r="AG194" i="1"/>
  <c r="AE194" i="1"/>
  <c r="AC194" i="1"/>
  <c r="AA194" i="1"/>
  <c r="Y194" i="1"/>
  <c r="W194" i="1"/>
  <c r="U194" i="1"/>
  <c r="AK193" i="1"/>
  <c r="AG193" i="1"/>
  <c r="AE193" i="1"/>
  <c r="AC193" i="1"/>
  <c r="AA193" i="1"/>
  <c r="Y193" i="1"/>
  <c r="W193" i="1"/>
  <c r="U193" i="1"/>
  <c r="AK192" i="1"/>
  <c r="AG192" i="1"/>
  <c r="AE192" i="1"/>
  <c r="AC192" i="1"/>
  <c r="AA192" i="1"/>
  <c r="Y192" i="1"/>
  <c r="W192" i="1"/>
  <c r="U192" i="1"/>
  <c r="AY191" i="1"/>
  <c r="AZ191" i="1" s="1"/>
  <c r="AK191" i="1"/>
  <c r="AG191" i="1"/>
  <c r="AE191" i="1"/>
  <c r="AC191" i="1"/>
  <c r="AA191" i="1"/>
  <c r="Y191" i="1"/>
  <c r="W191" i="1"/>
  <c r="U191" i="1"/>
  <c r="P191" i="1"/>
  <c r="Q191" i="1" s="1"/>
  <c r="M191" i="1"/>
  <c r="AK190" i="1"/>
  <c r="AG190" i="1"/>
  <c r="AE190" i="1"/>
  <c r="AC190" i="1"/>
  <c r="AA190" i="1"/>
  <c r="Y190" i="1"/>
  <c r="W190" i="1"/>
  <c r="U190" i="1"/>
  <c r="AK189" i="1"/>
  <c r="AG189" i="1"/>
  <c r="AE189" i="1"/>
  <c r="AC189" i="1"/>
  <c r="AA189" i="1"/>
  <c r="Y189" i="1"/>
  <c r="W189" i="1"/>
  <c r="U189" i="1"/>
  <c r="AK188" i="1"/>
  <c r="AG188" i="1"/>
  <c r="AE188" i="1"/>
  <c r="AC188" i="1"/>
  <c r="AA188" i="1"/>
  <c r="Y188" i="1"/>
  <c r="W188" i="1"/>
  <c r="U188" i="1"/>
  <c r="AY187" i="1"/>
  <c r="AZ187" i="1" s="1"/>
  <c r="AK187" i="1"/>
  <c r="AG187" i="1"/>
  <c r="AE187" i="1"/>
  <c r="AC187" i="1"/>
  <c r="AA187" i="1"/>
  <c r="Y187" i="1"/>
  <c r="W187" i="1"/>
  <c r="U187" i="1"/>
  <c r="P187" i="1"/>
  <c r="Q187" i="1" s="1"/>
  <c r="M187" i="1"/>
  <c r="AK178" i="1"/>
  <c r="AG178" i="1"/>
  <c r="AE178" i="1"/>
  <c r="AC178" i="1"/>
  <c r="AA178" i="1"/>
  <c r="Y178" i="1"/>
  <c r="W178" i="1"/>
  <c r="U178" i="1"/>
  <c r="AK177" i="1"/>
  <c r="AG177" i="1"/>
  <c r="AE177" i="1"/>
  <c r="AC177" i="1"/>
  <c r="AA177" i="1"/>
  <c r="Y177" i="1"/>
  <c r="W177" i="1"/>
  <c r="U177" i="1"/>
  <c r="AK176" i="1"/>
  <c r="AG176" i="1"/>
  <c r="AE176" i="1"/>
  <c r="AC176" i="1"/>
  <c r="AA176" i="1"/>
  <c r="Y176" i="1"/>
  <c r="W176" i="1"/>
  <c r="U176" i="1"/>
  <c r="AY175" i="1"/>
  <c r="AZ175" i="1" s="1"/>
  <c r="AK175" i="1"/>
  <c r="AG175" i="1"/>
  <c r="AE175" i="1"/>
  <c r="AC175" i="1"/>
  <c r="AA175" i="1"/>
  <c r="Y175" i="1"/>
  <c r="W175" i="1"/>
  <c r="U175" i="1"/>
  <c r="P175" i="1"/>
  <c r="Q175" i="1" s="1"/>
  <c r="M175" i="1"/>
  <c r="AK174" i="1"/>
  <c r="AG174" i="1"/>
  <c r="AE174" i="1"/>
  <c r="AC174" i="1"/>
  <c r="AA174" i="1"/>
  <c r="Y174" i="1"/>
  <c r="W174" i="1"/>
  <c r="U174" i="1"/>
  <c r="AK173" i="1"/>
  <c r="AG173" i="1"/>
  <c r="AE173" i="1"/>
  <c r="AC173" i="1"/>
  <c r="AA173" i="1"/>
  <c r="Y173" i="1"/>
  <c r="W173" i="1"/>
  <c r="U173" i="1"/>
  <c r="AK172" i="1"/>
  <c r="AG172" i="1"/>
  <c r="AE172" i="1"/>
  <c r="AC172" i="1"/>
  <c r="AA172" i="1"/>
  <c r="Y172" i="1"/>
  <c r="W172" i="1"/>
  <c r="U172" i="1"/>
  <c r="AY171" i="1"/>
  <c r="AZ171" i="1" s="1"/>
  <c r="AK171" i="1"/>
  <c r="AG171" i="1"/>
  <c r="AE171" i="1"/>
  <c r="AC171" i="1"/>
  <c r="AA171" i="1"/>
  <c r="Y171" i="1"/>
  <c r="W171" i="1"/>
  <c r="U171" i="1"/>
  <c r="P171" i="1"/>
  <c r="Q171" i="1" s="1"/>
  <c r="M171" i="1"/>
  <c r="AK170" i="1"/>
  <c r="AG170" i="1"/>
  <c r="AE170" i="1"/>
  <c r="AC170" i="1"/>
  <c r="AA170" i="1"/>
  <c r="Y170" i="1"/>
  <c r="AH170" i="1" s="1"/>
  <c r="AI170" i="1" s="1"/>
  <c r="AL170" i="1" s="1"/>
  <c r="W170" i="1"/>
  <c r="U170" i="1"/>
  <c r="AK169" i="1"/>
  <c r="AG169" i="1"/>
  <c r="AE169" i="1"/>
  <c r="AC169" i="1"/>
  <c r="AA169" i="1"/>
  <c r="Y169" i="1"/>
  <c r="W169" i="1"/>
  <c r="U169" i="1"/>
  <c r="AK168" i="1"/>
  <c r="AG168" i="1"/>
  <c r="AE168" i="1"/>
  <c r="AC168" i="1"/>
  <c r="AA168" i="1"/>
  <c r="Y168" i="1"/>
  <c r="AH168" i="1" s="1"/>
  <c r="AI168" i="1" s="1"/>
  <c r="AL168" i="1" s="1"/>
  <c r="W168" i="1"/>
  <c r="U168" i="1"/>
  <c r="AY167" i="1"/>
  <c r="AZ167" i="1" s="1"/>
  <c r="AK167" i="1"/>
  <c r="AG167" i="1"/>
  <c r="AE167" i="1"/>
  <c r="AC167" i="1"/>
  <c r="AA167" i="1"/>
  <c r="AH167" i="1" s="1"/>
  <c r="AI167" i="1" s="1"/>
  <c r="AL167" i="1" s="1"/>
  <c r="Y167" i="1"/>
  <c r="W167" i="1"/>
  <c r="U167" i="1"/>
  <c r="Q167" i="1"/>
  <c r="P167" i="1"/>
  <c r="M167" i="1"/>
  <c r="AK163" i="1"/>
  <c r="AG163" i="1"/>
  <c r="AE163" i="1"/>
  <c r="AC163" i="1"/>
  <c r="AA163" i="1"/>
  <c r="Y163" i="1"/>
  <c r="W163" i="1"/>
  <c r="U163" i="1"/>
  <c r="AY162" i="1"/>
  <c r="AZ162" i="1" s="1"/>
  <c r="AK162" i="1"/>
  <c r="AG162" i="1"/>
  <c r="AE162" i="1"/>
  <c r="AC162" i="1"/>
  <c r="AA162" i="1"/>
  <c r="AH162" i="1" s="1"/>
  <c r="AI162" i="1" s="1"/>
  <c r="AL162" i="1" s="1"/>
  <c r="Y162" i="1"/>
  <c r="W162" i="1"/>
  <c r="U162" i="1"/>
  <c r="Q162" i="1"/>
  <c r="P162" i="1"/>
  <c r="M162" i="1"/>
  <c r="AL161" i="1"/>
  <c r="AG161" i="1"/>
  <c r="AE161" i="1"/>
  <c r="AC161" i="1"/>
  <c r="AA161" i="1"/>
  <c r="Y161" i="1"/>
  <c r="W161" i="1"/>
  <c r="U161" i="1"/>
  <c r="AY160" i="1"/>
  <c r="AZ160" i="1" s="1"/>
  <c r="AK160" i="1"/>
  <c r="AG160" i="1"/>
  <c r="AE160" i="1"/>
  <c r="AC160" i="1"/>
  <c r="AA160" i="1"/>
  <c r="Y160" i="1"/>
  <c r="W160" i="1"/>
  <c r="U160" i="1"/>
  <c r="Q160" i="1"/>
  <c r="P160" i="1"/>
  <c r="M160" i="1"/>
  <c r="AH192" i="1" l="1"/>
  <c r="AI192" i="1" s="1"/>
  <c r="AL192" i="1" s="1"/>
  <c r="AH194" i="1"/>
  <c r="AI194" i="1" s="1"/>
  <c r="AL194" i="1" s="1"/>
  <c r="AH166" i="1"/>
  <c r="AI166" i="1" s="1"/>
  <c r="AL166" i="1" s="1"/>
  <c r="AM166" i="1" s="1"/>
  <c r="AN166" i="1" s="1"/>
  <c r="AP166" i="1" s="1"/>
  <c r="AQ166" i="1" s="1"/>
  <c r="AT166" i="1" s="1"/>
  <c r="AH171" i="1"/>
  <c r="AI171" i="1" s="1"/>
  <c r="AL171" i="1" s="1"/>
  <c r="AO171" i="1" s="1"/>
  <c r="AH172" i="1"/>
  <c r="AI172" i="1" s="1"/>
  <c r="AL172" i="1" s="1"/>
  <c r="AO172" i="1" s="1"/>
  <c r="AH174" i="1"/>
  <c r="AI174" i="1" s="1"/>
  <c r="AL174" i="1" s="1"/>
  <c r="AH176" i="1"/>
  <c r="AI176" i="1" s="1"/>
  <c r="AL176" i="1" s="1"/>
  <c r="AO176" i="1" s="1"/>
  <c r="AH177" i="1"/>
  <c r="AI177" i="1" s="1"/>
  <c r="AL177" i="1" s="1"/>
  <c r="AO177" i="1" s="1"/>
  <c r="AH178" i="1"/>
  <c r="AI178" i="1" s="1"/>
  <c r="AL178" i="1" s="1"/>
  <c r="AO178" i="1" s="1"/>
  <c r="AH188" i="1"/>
  <c r="AI188" i="1" s="1"/>
  <c r="AL188" i="1" s="1"/>
  <c r="AO188" i="1" s="1"/>
  <c r="AH189" i="1"/>
  <c r="AI189" i="1" s="1"/>
  <c r="AL189" i="1" s="1"/>
  <c r="AO189" i="1" s="1"/>
  <c r="AH190" i="1"/>
  <c r="AI190" i="1" s="1"/>
  <c r="AL190" i="1" s="1"/>
  <c r="AH169" i="1"/>
  <c r="AI169" i="1" s="1"/>
  <c r="AL169" i="1" s="1"/>
  <c r="AH193" i="1"/>
  <c r="AI193" i="1" s="1"/>
  <c r="AL193" i="1" s="1"/>
  <c r="AM193" i="1" s="1"/>
  <c r="AN193" i="1" s="1"/>
  <c r="AH164" i="1"/>
  <c r="AI164" i="1" s="1"/>
  <c r="AL164" i="1" s="1"/>
  <c r="AO164" i="1" s="1"/>
  <c r="AH173" i="1"/>
  <c r="AI173" i="1" s="1"/>
  <c r="AL173" i="1" s="1"/>
  <c r="AO173" i="1" s="1"/>
  <c r="AH175" i="1"/>
  <c r="AI175" i="1" s="1"/>
  <c r="AL175" i="1" s="1"/>
  <c r="AH187" i="1"/>
  <c r="AI187" i="1" s="1"/>
  <c r="AL187" i="1" s="1"/>
  <c r="AM187" i="1" s="1"/>
  <c r="AN187" i="1" s="1"/>
  <c r="AH191" i="1"/>
  <c r="AI191" i="1" s="1"/>
  <c r="AL191" i="1" s="1"/>
  <c r="AO191" i="1" s="1"/>
  <c r="AM165" i="1"/>
  <c r="AN165" i="1" s="1"/>
  <c r="AO165" i="1"/>
  <c r="AM191" i="1"/>
  <c r="AN191" i="1" s="1"/>
  <c r="AM192" i="1"/>
  <c r="AN192" i="1" s="1"/>
  <c r="AO192" i="1"/>
  <c r="AM194" i="1"/>
  <c r="AN194" i="1" s="1"/>
  <c r="AO194" i="1"/>
  <c r="AO193" i="1"/>
  <c r="AM188" i="1"/>
  <c r="AN188" i="1" s="1"/>
  <c r="AO190" i="1"/>
  <c r="AM190" i="1"/>
  <c r="AN190" i="1" s="1"/>
  <c r="AM175" i="1"/>
  <c r="AN175" i="1" s="1"/>
  <c r="AO175" i="1"/>
  <c r="AM176" i="1"/>
  <c r="AN176" i="1" s="1"/>
  <c r="AO167" i="1"/>
  <c r="AM167" i="1"/>
  <c r="AN167" i="1" s="1"/>
  <c r="AM168" i="1"/>
  <c r="AN168" i="1" s="1"/>
  <c r="AO168" i="1"/>
  <c r="AO170" i="1"/>
  <c r="AM170" i="1"/>
  <c r="AN170" i="1" s="1"/>
  <c r="AM172" i="1"/>
  <c r="AN172" i="1" s="1"/>
  <c r="AO174" i="1"/>
  <c r="AM174" i="1"/>
  <c r="AN174" i="1" s="1"/>
  <c r="AM169" i="1"/>
  <c r="AN169" i="1" s="1"/>
  <c r="AO169" i="1"/>
  <c r="AH163" i="1"/>
  <c r="AI163" i="1" s="1"/>
  <c r="AL163" i="1" s="1"/>
  <c r="AM163" i="1" s="1"/>
  <c r="AN163" i="1" s="1"/>
  <c r="AM162" i="1"/>
  <c r="AN162" i="1" s="1"/>
  <c r="AO162" i="1"/>
  <c r="AH160" i="1"/>
  <c r="AI160" i="1" s="1"/>
  <c r="AL160" i="1" s="1"/>
  <c r="AO160" i="1" s="1"/>
  <c r="AM164" i="1" l="1"/>
  <c r="AN164" i="1" s="1"/>
  <c r="AP164" i="1" s="1"/>
  <c r="AQ164" i="1" s="1"/>
  <c r="AT164" i="1" s="1"/>
  <c r="AU164" i="1" s="1"/>
  <c r="AO187" i="1"/>
  <c r="AM171" i="1"/>
  <c r="AN171" i="1" s="1"/>
  <c r="AM173" i="1"/>
  <c r="AN173" i="1" s="1"/>
  <c r="AP171" i="1" s="1"/>
  <c r="AQ171" i="1" s="1"/>
  <c r="AT171" i="1" s="1"/>
  <c r="AM178" i="1"/>
  <c r="AN178" i="1" s="1"/>
  <c r="AM177" i="1"/>
  <c r="AN177" i="1" s="1"/>
  <c r="AO166" i="1"/>
  <c r="AM189" i="1"/>
  <c r="AN189" i="1" s="1"/>
  <c r="AP187" i="1" s="1"/>
  <c r="AQ187" i="1" s="1"/>
  <c r="AT187" i="1" s="1"/>
  <c r="AV166" i="1"/>
  <c r="AU166" i="1"/>
  <c r="AO163" i="1"/>
  <c r="AV164" i="1"/>
  <c r="AP191" i="1"/>
  <c r="AQ191" i="1" s="1"/>
  <c r="AT191" i="1" s="1"/>
  <c r="AP167" i="1"/>
  <c r="AQ167" i="1" s="1"/>
  <c r="AT167" i="1" s="1"/>
  <c r="AP162" i="1"/>
  <c r="AQ162" i="1" s="1"/>
  <c r="AT162" i="1" s="1"/>
  <c r="AU162" i="1" s="1"/>
  <c r="AM160" i="1"/>
  <c r="AN160" i="1" s="1"/>
  <c r="AP160" i="1" s="1"/>
  <c r="AQ160" i="1" s="1"/>
  <c r="AT160" i="1" s="1"/>
  <c r="AV160" i="1" s="1"/>
  <c r="AP175" i="1" l="1"/>
  <c r="AQ175" i="1" s="1"/>
  <c r="AT175" i="1" s="1"/>
  <c r="AV175" i="1" s="1"/>
  <c r="AU187" i="1"/>
  <c r="AV187" i="1"/>
  <c r="AV162" i="1"/>
  <c r="AV191" i="1"/>
  <c r="AU191" i="1"/>
  <c r="AV167" i="1"/>
  <c r="AU167" i="1"/>
  <c r="AU171" i="1"/>
  <c r="AV171" i="1"/>
  <c r="AU160" i="1"/>
  <c r="AU175" i="1" l="1"/>
  <c r="AK155" i="1"/>
  <c r="AG155" i="1"/>
  <c r="AE155" i="1"/>
  <c r="AC155" i="1"/>
  <c r="AA155" i="1"/>
  <c r="Y155" i="1"/>
  <c r="W155" i="1"/>
  <c r="U155" i="1"/>
  <c r="AK154" i="1"/>
  <c r="AG154" i="1"/>
  <c r="AE154" i="1"/>
  <c r="AC154" i="1"/>
  <c r="AA154" i="1"/>
  <c r="Y154" i="1"/>
  <c r="W154" i="1"/>
  <c r="U154" i="1"/>
  <c r="AL153" i="1"/>
  <c r="AG153" i="1"/>
  <c r="AE153" i="1"/>
  <c r="AC153" i="1"/>
  <c r="AA153" i="1"/>
  <c r="Y153" i="1"/>
  <c r="W153" i="1"/>
  <c r="U153" i="1"/>
  <c r="AY152" i="1"/>
  <c r="AZ152" i="1" s="1"/>
  <c r="AK152" i="1"/>
  <c r="AG152" i="1"/>
  <c r="AE152" i="1"/>
  <c r="AC152" i="1"/>
  <c r="AA152" i="1"/>
  <c r="Y152" i="1"/>
  <c r="W152" i="1"/>
  <c r="U152" i="1"/>
  <c r="P152" i="1"/>
  <c r="Q152" i="1" s="1"/>
  <c r="M152" i="1"/>
  <c r="AK151" i="1"/>
  <c r="AG151" i="1"/>
  <c r="AE151" i="1"/>
  <c r="AC151" i="1"/>
  <c r="AA151" i="1"/>
  <c r="Y151" i="1"/>
  <c r="W151" i="1"/>
  <c r="U151" i="1"/>
  <c r="AY150" i="1"/>
  <c r="AZ150" i="1" s="1"/>
  <c r="AK150" i="1"/>
  <c r="AG150" i="1"/>
  <c r="AE150" i="1"/>
  <c r="AC150" i="1"/>
  <c r="AA150" i="1"/>
  <c r="Y150" i="1"/>
  <c r="W150" i="1"/>
  <c r="U150" i="1"/>
  <c r="P150" i="1"/>
  <c r="Q150" i="1" s="1"/>
  <c r="M150" i="1"/>
  <c r="AK149" i="1"/>
  <c r="AG149" i="1"/>
  <c r="AE149" i="1"/>
  <c r="AC149" i="1"/>
  <c r="AA149" i="1"/>
  <c r="Y149" i="1"/>
  <c r="W149" i="1"/>
  <c r="U149" i="1"/>
  <c r="AY148" i="1"/>
  <c r="AZ148" i="1" s="1"/>
  <c r="AK148" i="1"/>
  <c r="AG148" i="1"/>
  <c r="AE148" i="1"/>
  <c r="AC148" i="1"/>
  <c r="AA148" i="1"/>
  <c r="Y148" i="1"/>
  <c r="W148" i="1"/>
  <c r="U148" i="1"/>
  <c r="P148" i="1"/>
  <c r="Q148" i="1" s="1"/>
  <c r="M148" i="1"/>
  <c r="AH155" i="1" l="1"/>
  <c r="AI155" i="1" s="1"/>
  <c r="AL155" i="1" s="1"/>
  <c r="AM155" i="1" s="1"/>
  <c r="AN155" i="1" s="1"/>
  <c r="AH152" i="1"/>
  <c r="AI152" i="1" s="1"/>
  <c r="AL152" i="1" s="1"/>
  <c r="AO152" i="1" s="1"/>
  <c r="AH154" i="1"/>
  <c r="AI154" i="1" s="1"/>
  <c r="AL154" i="1" s="1"/>
  <c r="AO154" i="1" s="1"/>
  <c r="AO155" i="1"/>
  <c r="AH150" i="1"/>
  <c r="AI150" i="1" s="1"/>
  <c r="AL150" i="1" s="1"/>
  <c r="AM150" i="1" s="1"/>
  <c r="AN150" i="1" s="1"/>
  <c r="AP150" i="1" s="1"/>
  <c r="AQ150" i="1" s="1"/>
  <c r="AT150" i="1" s="1"/>
  <c r="AH151" i="1"/>
  <c r="AI151" i="1" s="1"/>
  <c r="AL151" i="1" s="1"/>
  <c r="AH148" i="1"/>
  <c r="AI148" i="1" s="1"/>
  <c r="AL148" i="1" s="1"/>
  <c r="AO148" i="1" s="1"/>
  <c r="AH149" i="1"/>
  <c r="AI149" i="1" s="1"/>
  <c r="AL149" i="1" s="1"/>
  <c r="AM149" i="1" s="1"/>
  <c r="AN149" i="1" s="1"/>
  <c r="AO150" i="1" l="1"/>
  <c r="AM148" i="1"/>
  <c r="AN148" i="1" s="1"/>
  <c r="AM152" i="1"/>
  <c r="AN152" i="1" s="1"/>
  <c r="AM154" i="1"/>
  <c r="AN154" i="1" s="1"/>
  <c r="AV150" i="1"/>
  <c r="AU150" i="1"/>
  <c r="AO149" i="1"/>
  <c r="AP148" i="1"/>
  <c r="AQ148" i="1" s="1"/>
  <c r="AT148" i="1" s="1"/>
  <c r="AV148" i="1" s="1"/>
  <c r="AP152" i="1" l="1"/>
  <c r="AQ152" i="1" s="1"/>
  <c r="AT152" i="1" s="1"/>
  <c r="AU148" i="1"/>
  <c r="AV152" i="1" l="1"/>
  <c r="AU152" i="1"/>
  <c r="AK147" i="1"/>
  <c r="AG147" i="1"/>
  <c r="AE147" i="1"/>
  <c r="AC147" i="1"/>
  <c r="AA147" i="1"/>
  <c r="Y147" i="1"/>
  <c r="W147" i="1"/>
  <c r="U147" i="1"/>
  <c r="AK146" i="1"/>
  <c r="AG146" i="1"/>
  <c r="AE146" i="1"/>
  <c r="AC146" i="1"/>
  <c r="AA146" i="1"/>
  <c r="Y146" i="1"/>
  <c r="W146" i="1"/>
  <c r="U146" i="1"/>
  <c r="AK145" i="1"/>
  <c r="AG145" i="1"/>
  <c r="AE145" i="1"/>
  <c r="AC145" i="1"/>
  <c r="AA145" i="1"/>
  <c r="Y145" i="1"/>
  <c r="W145" i="1"/>
  <c r="U145" i="1"/>
  <c r="AY144" i="1"/>
  <c r="AZ144" i="1" s="1"/>
  <c r="AK144" i="1"/>
  <c r="AG144" i="1"/>
  <c r="AE144" i="1"/>
  <c r="AC144" i="1"/>
  <c r="AA144" i="1"/>
  <c r="Y144" i="1"/>
  <c r="W144" i="1"/>
  <c r="U144" i="1"/>
  <c r="P144" i="1"/>
  <c r="Q144" i="1" s="1"/>
  <c r="M144" i="1"/>
  <c r="P140" i="1"/>
  <c r="Q140" i="1" s="1"/>
  <c r="M140" i="1"/>
  <c r="AK139" i="1"/>
  <c r="AG139" i="1"/>
  <c r="AE139" i="1"/>
  <c r="AC139" i="1"/>
  <c r="AA139" i="1"/>
  <c r="Y139" i="1"/>
  <c r="W139" i="1"/>
  <c r="U139" i="1"/>
  <c r="AK138" i="1"/>
  <c r="AG138" i="1"/>
  <c r="AE138" i="1"/>
  <c r="AC138" i="1"/>
  <c r="AA138" i="1"/>
  <c r="Y138" i="1"/>
  <c r="W138" i="1"/>
  <c r="U138" i="1"/>
  <c r="AK137" i="1"/>
  <c r="AG137" i="1"/>
  <c r="AE137" i="1"/>
  <c r="AC137" i="1"/>
  <c r="AA137" i="1"/>
  <c r="Y137" i="1"/>
  <c r="W137" i="1"/>
  <c r="U137" i="1"/>
  <c r="AY136" i="1"/>
  <c r="AZ136" i="1" s="1"/>
  <c r="AK136" i="1"/>
  <c r="AG136" i="1"/>
  <c r="AE136" i="1"/>
  <c r="AC136" i="1"/>
  <c r="AA136" i="1"/>
  <c r="Y136" i="1"/>
  <c r="W136" i="1"/>
  <c r="U136" i="1"/>
  <c r="P136" i="1"/>
  <c r="Q136" i="1" s="1"/>
  <c r="M136" i="1"/>
  <c r="AH137" i="1" l="1"/>
  <c r="AI137" i="1" s="1"/>
  <c r="AL137" i="1" s="1"/>
  <c r="AO137" i="1" s="1"/>
  <c r="AH139" i="1"/>
  <c r="AI139" i="1" s="1"/>
  <c r="AL139" i="1" s="1"/>
  <c r="AO139" i="1" s="1"/>
  <c r="AH136" i="1"/>
  <c r="AI136" i="1" s="1"/>
  <c r="AL136" i="1" s="1"/>
  <c r="AH138" i="1"/>
  <c r="AI138" i="1" s="1"/>
  <c r="AL138" i="1" s="1"/>
  <c r="AM138" i="1" s="1"/>
  <c r="AN138" i="1" s="1"/>
  <c r="AH144" i="1"/>
  <c r="AI144" i="1" s="1"/>
  <c r="AL144" i="1" s="1"/>
  <c r="AH145" i="1"/>
  <c r="AI145" i="1" s="1"/>
  <c r="AL145" i="1" s="1"/>
  <c r="AO145" i="1" s="1"/>
  <c r="AH146" i="1"/>
  <c r="AI146" i="1" s="1"/>
  <c r="AL146" i="1" s="1"/>
  <c r="AO146" i="1" s="1"/>
  <c r="AH147" i="1"/>
  <c r="AI147" i="1" s="1"/>
  <c r="AL147" i="1" s="1"/>
  <c r="AO147" i="1" s="1"/>
  <c r="AO144" i="1"/>
  <c r="AM144" i="1"/>
  <c r="AN144" i="1" s="1"/>
  <c r="AM146" i="1"/>
  <c r="AN146" i="1" s="1"/>
  <c r="AM136" i="1"/>
  <c r="AN136" i="1" s="1"/>
  <c r="AO136" i="1"/>
  <c r="AM137" i="1"/>
  <c r="AN137" i="1" s="1"/>
  <c r="AO138" i="1" l="1"/>
  <c r="AM139" i="1"/>
  <c r="AN139" i="1" s="1"/>
  <c r="AP136" i="1" s="1"/>
  <c r="AQ136" i="1" s="1"/>
  <c r="AT136" i="1" s="1"/>
  <c r="AV136" i="1" s="1"/>
  <c r="AM147" i="1"/>
  <c r="AN147" i="1" s="1"/>
  <c r="AM145" i="1"/>
  <c r="AN145" i="1" s="1"/>
  <c r="AP144" i="1" l="1"/>
  <c r="AQ144" i="1" s="1"/>
  <c r="AT144" i="1" s="1"/>
  <c r="AV144" i="1" s="1"/>
  <c r="AU136" i="1"/>
  <c r="AU144" i="1" l="1"/>
  <c r="AK135" i="1"/>
  <c r="AG135" i="1"/>
  <c r="AE135" i="1"/>
  <c r="AC135" i="1"/>
  <c r="AA135" i="1"/>
  <c r="Y135" i="1"/>
  <c r="W135" i="1"/>
  <c r="U135" i="1"/>
  <c r="AK134" i="1"/>
  <c r="AG134" i="1"/>
  <c r="AE134" i="1"/>
  <c r="AC134" i="1"/>
  <c r="AA134" i="1"/>
  <c r="Y134" i="1"/>
  <c r="W134" i="1"/>
  <c r="U134" i="1"/>
  <c r="AK133" i="1"/>
  <c r="AG133" i="1"/>
  <c r="AE133" i="1"/>
  <c r="AC133" i="1"/>
  <c r="AA133" i="1"/>
  <c r="Y133" i="1"/>
  <c r="W133" i="1"/>
  <c r="U133" i="1"/>
  <c r="AY132" i="1"/>
  <c r="AZ132" i="1" s="1"/>
  <c r="AK132" i="1"/>
  <c r="AG132" i="1"/>
  <c r="AE132" i="1"/>
  <c r="AC132" i="1"/>
  <c r="AA132" i="1"/>
  <c r="Y132" i="1"/>
  <c r="W132" i="1"/>
  <c r="U132" i="1"/>
  <c r="P132" i="1"/>
  <c r="Q132" i="1" s="1"/>
  <c r="M132" i="1"/>
  <c r="AK131" i="1"/>
  <c r="AG131" i="1"/>
  <c r="AE131" i="1"/>
  <c r="AC131" i="1"/>
  <c r="AA131" i="1"/>
  <c r="Y131" i="1"/>
  <c r="W131" i="1"/>
  <c r="U131" i="1"/>
  <c r="AK130" i="1"/>
  <c r="AG130" i="1"/>
  <c r="AE130" i="1"/>
  <c r="AC130" i="1"/>
  <c r="AA130" i="1"/>
  <c r="Y130" i="1"/>
  <c r="W130" i="1"/>
  <c r="U130" i="1"/>
  <c r="AK129" i="1"/>
  <c r="AG129" i="1"/>
  <c r="AE129" i="1"/>
  <c r="AC129" i="1"/>
  <c r="AA129" i="1"/>
  <c r="Y129" i="1"/>
  <c r="W129" i="1"/>
  <c r="U129" i="1"/>
  <c r="AY128" i="1"/>
  <c r="AZ128" i="1" s="1"/>
  <c r="AK128" i="1"/>
  <c r="AG128" i="1"/>
  <c r="AE128" i="1"/>
  <c r="AC128" i="1"/>
  <c r="AA128" i="1"/>
  <c r="Y128" i="1"/>
  <c r="W128" i="1"/>
  <c r="U128" i="1"/>
  <c r="P128" i="1"/>
  <c r="Q128" i="1" s="1"/>
  <c r="M128" i="1"/>
  <c r="AH129" i="1" l="1"/>
  <c r="AI129" i="1" s="1"/>
  <c r="AL129" i="1" s="1"/>
  <c r="AM129" i="1" s="1"/>
  <c r="AN129" i="1" s="1"/>
  <c r="AH131" i="1"/>
  <c r="AI131" i="1" s="1"/>
  <c r="AL131" i="1" s="1"/>
  <c r="AH133" i="1"/>
  <c r="AI133" i="1" s="1"/>
  <c r="AL133" i="1" s="1"/>
  <c r="AO133" i="1" s="1"/>
  <c r="AH134" i="1"/>
  <c r="AI134" i="1" s="1"/>
  <c r="AL134" i="1" s="1"/>
  <c r="AO134" i="1" s="1"/>
  <c r="AH135" i="1"/>
  <c r="AI135" i="1" s="1"/>
  <c r="AL135" i="1" s="1"/>
  <c r="AM135" i="1" s="1"/>
  <c r="AN135" i="1" s="1"/>
  <c r="AH130" i="1"/>
  <c r="AI130" i="1" s="1"/>
  <c r="AL130" i="1" s="1"/>
  <c r="AH132" i="1"/>
  <c r="AI132" i="1" s="1"/>
  <c r="AL132" i="1" s="1"/>
  <c r="AM132" i="1" s="1"/>
  <c r="AN132" i="1" s="1"/>
  <c r="AH128" i="1"/>
  <c r="AI128" i="1" s="1"/>
  <c r="AL128" i="1" s="1"/>
  <c r="AM128" i="1" s="1"/>
  <c r="AN128" i="1" s="1"/>
  <c r="AO131" i="1"/>
  <c r="AM131" i="1"/>
  <c r="AN131" i="1" s="1"/>
  <c r="AO130" i="1"/>
  <c r="AM130" i="1"/>
  <c r="AN130" i="1" s="1"/>
  <c r="AO135" i="1" l="1"/>
  <c r="AO129" i="1"/>
  <c r="AO128" i="1"/>
  <c r="AM133" i="1"/>
  <c r="AN133" i="1" s="1"/>
  <c r="AO132" i="1"/>
  <c r="AM134" i="1"/>
  <c r="AN134" i="1" s="1"/>
  <c r="AP128" i="1"/>
  <c r="AQ128" i="1" s="1"/>
  <c r="AT128" i="1" s="1"/>
  <c r="AP132" i="1" l="1"/>
  <c r="AQ132" i="1" s="1"/>
  <c r="AT132" i="1" s="1"/>
  <c r="AV132" i="1" s="1"/>
  <c r="AU128" i="1"/>
  <c r="AV128" i="1"/>
  <c r="AU132" i="1" l="1"/>
  <c r="AK127" i="1"/>
  <c r="AG127" i="1"/>
  <c r="AE127" i="1"/>
  <c r="AC127" i="1"/>
  <c r="AA127" i="1"/>
  <c r="Y127" i="1"/>
  <c r="W127" i="1"/>
  <c r="U127" i="1"/>
  <c r="AK126" i="1"/>
  <c r="AG126" i="1"/>
  <c r="AE126" i="1"/>
  <c r="AC126" i="1"/>
  <c r="AA126" i="1"/>
  <c r="Y126" i="1"/>
  <c r="W126" i="1"/>
  <c r="U126" i="1"/>
  <c r="AK125" i="1"/>
  <c r="AG125" i="1"/>
  <c r="AE125" i="1"/>
  <c r="AC125" i="1"/>
  <c r="AA125" i="1"/>
  <c r="Y125" i="1"/>
  <c r="W125" i="1"/>
  <c r="U125" i="1"/>
  <c r="AY124" i="1"/>
  <c r="AZ124" i="1" s="1"/>
  <c r="AK124" i="1"/>
  <c r="AG124" i="1"/>
  <c r="AE124" i="1"/>
  <c r="AC124" i="1"/>
  <c r="AA124" i="1"/>
  <c r="Y124" i="1"/>
  <c r="W124" i="1"/>
  <c r="U124" i="1"/>
  <c r="P124" i="1"/>
  <c r="Q124" i="1" s="1"/>
  <c r="M124" i="1"/>
  <c r="AK159" i="1"/>
  <c r="AG159" i="1"/>
  <c r="AE159" i="1"/>
  <c r="AC159" i="1"/>
  <c r="AA159" i="1"/>
  <c r="Y159" i="1"/>
  <c r="W159" i="1"/>
  <c r="U159" i="1"/>
  <c r="AK158" i="1"/>
  <c r="AG158" i="1"/>
  <c r="AE158" i="1"/>
  <c r="AC158" i="1"/>
  <c r="AA158" i="1"/>
  <c r="Y158" i="1"/>
  <c r="W158" i="1"/>
  <c r="U158" i="1"/>
  <c r="AK157" i="1"/>
  <c r="AG157" i="1"/>
  <c r="AE157" i="1"/>
  <c r="AC157" i="1"/>
  <c r="AA157" i="1"/>
  <c r="Y157" i="1"/>
  <c r="W157" i="1"/>
  <c r="U157" i="1"/>
  <c r="AY156" i="1"/>
  <c r="AZ156" i="1" s="1"/>
  <c r="AK156" i="1"/>
  <c r="AG156" i="1"/>
  <c r="AE156" i="1"/>
  <c r="AC156" i="1"/>
  <c r="AA156" i="1"/>
  <c r="Y156" i="1"/>
  <c r="W156" i="1"/>
  <c r="U156" i="1"/>
  <c r="P156" i="1"/>
  <c r="Q156" i="1" s="1"/>
  <c r="M156" i="1"/>
  <c r="AK143" i="1"/>
  <c r="AG143" i="1"/>
  <c r="AE143" i="1"/>
  <c r="AC143" i="1"/>
  <c r="AA143" i="1"/>
  <c r="Y143" i="1"/>
  <c r="W143" i="1"/>
  <c r="U143" i="1"/>
  <c r="AK142" i="1"/>
  <c r="AG142" i="1"/>
  <c r="AE142" i="1"/>
  <c r="AC142" i="1"/>
  <c r="AA142" i="1"/>
  <c r="Y142" i="1"/>
  <c r="W142" i="1"/>
  <c r="U142" i="1"/>
  <c r="AK141" i="1"/>
  <c r="AG141" i="1"/>
  <c r="AE141" i="1"/>
  <c r="AC141" i="1"/>
  <c r="AA141" i="1"/>
  <c r="Y141" i="1"/>
  <c r="W141" i="1"/>
  <c r="U141" i="1"/>
  <c r="AY140" i="1"/>
  <c r="AZ140" i="1" s="1"/>
  <c r="AK140" i="1"/>
  <c r="AG140" i="1"/>
  <c r="AE140" i="1"/>
  <c r="AC140" i="1"/>
  <c r="AA140" i="1"/>
  <c r="Y140" i="1"/>
  <c r="W140" i="1"/>
  <c r="U140" i="1"/>
  <c r="AK123" i="1"/>
  <c r="AG123" i="1"/>
  <c r="AE123" i="1"/>
  <c r="AC123" i="1"/>
  <c r="AA123" i="1"/>
  <c r="Y123" i="1"/>
  <c r="W123" i="1"/>
  <c r="U123" i="1"/>
  <c r="AK122" i="1"/>
  <c r="AG122" i="1"/>
  <c r="AE122" i="1"/>
  <c r="AC122" i="1"/>
  <c r="AA122" i="1"/>
  <c r="Y122" i="1"/>
  <c r="W122" i="1"/>
  <c r="U122" i="1"/>
  <c r="AK121" i="1"/>
  <c r="AG121" i="1"/>
  <c r="AE121" i="1"/>
  <c r="AC121" i="1"/>
  <c r="AA121" i="1"/>
  <c r="Y121" i="1"/>
  <c r="W121" i="1"/>
  <c r="U121" i="1"/>
  <c r="AY120" i="1"/>
  <c r="AZ120" i="1" s="1"/>
  <c r="AK120" i="1"/>
  <c r="AG120" i="1"/>
  <c r="AE120" i="1"/>
  <c r="AC120" i="1"/>
  <c r="AA120" i="1"/>
  <c r="Y120" i="1"/>
  <c r="W120" i="1"/>
  <c r="U120" i="1"/>
  <c r="P120" i="1"/>
  <c r="Q120" i="1" s="1"/>
  <c r="M120" i="1"/>
  <c r="AK119" i="1"/>
  <c r="AG119" i="1"/>
  <c r="AE119" i="1"/>
  <c r="AC119" i="1"/>
  <c r="AA119" i="1"/>
  <c r="Y119" i="1"/>
  <c r="W119" i="1"/>
  <c r="U119" i="1"/>
  <c r="AK118" i="1"/>
  <c r="AG118" i="1"/>
  <c r="AE118" i="1"/>
  <c r="AC118" i="1"/>
  <c r="AA118" i="1"/>
  <c r="Y118" i="1"/>
  <c r="W118" i="1"/>
  <c r="U118" i="1"/>
  <c r="AK117" i="1"/>
  <c r="AG117" i="1"/>
  <c r="AE117" i="1"/>
  <c r="AC117" i="1"/>
  <c r="AA117" i="1"/>
  <c r="Y117" i="1"/>
  <c r="W117" i="1"/>
  <c r="U117" i="1"/>
  <c r="AY116" i="1"/>
  <c r="AZ116" i="1" s="1"/>
  <c r="AK116" i="1"/>
  <c r="AG116" i="1"/>
  <c r="AE116" i="1"/>
  <c r="AC116" i="1"/>
  <c r="AA116" i="1"/>
  <c r="Y116" i="1"/>
  <c r="W116" i="1"/>
  <c r="U116" i="1"/>
  <c r="P116" i="1"/>
  <c r="Q116" i="1" s="1"/>
  <c r="M116" i="1"/>
  <c r="AK115" i="1"/>
  <c r="AG115" i="1"/>
  <c r="AE115" i="1"/>
  <c r="AC115" i="1"/>
  <c r="AA115" i="1"/>
  <c r="Y115" i="1"/>
  <c r="W115" i="1"/>
  <c r="U115" i="1"/>
  <c r="AK114" i="1"/>
  <c r="AG114" i="1"/>
  <c r="AE114" i="1"/>
  <c r="AC114" i="1"/>
  <c r="AA114" i="1"/>
  <c r="Y114" i="1"/>
  <c r="W114" i="1"/>
  <c r="U114" i="1"/>
  <c r="AK113" i="1"/>
  <c r="AG113" i="1"/>
  <c r="AE113" i="1"/>
  <c r="AC113" i="1"/>
  <c r="AA113" i="1"/>
  <c r="Y113" i="1"/>
  <c r="W113" i="1"/>
  <c r="U113" i="1"/>
  <c r="AY112" i="1"/>
  <c r="AZ112" i="1" s="1"/>
  <c r="AK112" i="1"/>
  <c r="AG112" i="1"/>
  <c r="AE112" i="1"/>
  <c r="AC112" i="1"/>
  <c r="AA112" i="1"/>
  <c r="Y112" i="1"/>
  <c r="W112" i="1"/>
  <c r="U112" i="1"/>
  <c r="P112" i="1"/>
  <c r="Q112" i="1" s="1"/>
  <c r="M112" i="1"/>
  <c r="AI111" i="1"/>
  <c r="AL111" i="1" s="1"/>
  <c r="AM111" i="1" s="1"/>
  <c r="AN111" i="1" s="1"/>
  <c r="AG111" i="1"/>
  <c r="AE111" i="1"/>
  <c r="AC111" i="1"/>
  <c r="AA111" i="1"/>
  <c r="Y111" i="1"/>
  <c r="W111" i="1"/>
  <c r="U111" i="1"/>
  <c r="AK110" i="1"/>
  <c r="AG110" i="1"/>
  <c r="AE110" i="1"/>
  <c r="AC110" i="1"/>
  <c r="AA110" i="1"/>
  <c r="Y110" i="1"/>
  <c r="W110" i="1"/>
  <c r="U110" i="1"/>
  <c r="AK109" i="1"/>
  <c r="AG109" i="1"/>
  <c r="AE109" i="1"/>
  <c r="AC109" i="1"/>
  <c r="AA109" i="1"/>
  <c r="Y109" i="1"/>
  <c r="W109" i="1"/>
  <c r="U109" i="1"/>
  <c r="AY108" i="1"/>
  <c r="AZ108" i="1" s="1"/>
  <c r="AK108" i="1"/>
  <c r="AG108" i="1"/>
  <c r="AE108" i="1"/>
  <c r="AC108" i="1"/>
  <c r="AA108" i="1"/>
  <c r="Y108" i="1"/>
  <c r="W108" i="1"/>
  <c r="U108" i="1"/>
  <c r="P108" i="1"/>
  <c r="M108" i="1"/>
  <c r="AH127" i="1" l="1"/>
  <c r="AI127" i="1" s="1"/>
  <c r="AL127" i="1" s="1"/>
  <c r="AO127" i="1" s="1"/>
  <c r="AH112" i="1"/>
  <c r="AI112" i="1" s="1"/>
  <c r="AL112" i="1" s="1"/>
  <c r="AM112" i="1" s="1"/>
  <c r="AN112" i="1" s="1"/>
  <c r="AH114" i="1"/>
  <c r="AI114" i="1" s="1"/>
  <c r="AL114" i="1" s="1"/>
  <c r="AH156" i="1"/>
  <c r="AI156" i="1" s="1"/>
  <c r="AL156" i="1" s="1"/>
  <c r="AO156" i="1" s="1"/>
  <c r="AH113" i="1"/>
  <c r="AI113" i="1" s="1"/>
  <c r="AL113" i="1" s="1"/>
  <c r="AM113" i="1" s="1"/>
  <c r="AN113" i="1" s="1"/>
  <c r="AH116" i="1"/>
  <c r="AI116" i="1" s="1"/>
  <c r="AL116" i="1" s="1"/>
  <c r="AM116" i="1" s="1"/>
  <c r="AN116" i="1" s="1"/>
  <c r="AH126" i="1"/>
  <c r="AI126" i="1" s="1"/>
  <c r="AL126" i="1" s="1"/>
  <c r="AM126" i="1" s="1"/>
  <c r="AN126" i="1" s="1"/>
  <c r="AH124" i="1"/>
  <c r="AI124" i="1" s="1"/>
  <c r="AL124" i="1" s="1"/>
  <c r="AM124" i="1" s="1"/>
  <c r="AN124" i="1" s="1"/>
  <c r="AH110" i="1"/>
  <c r="AI110" i="1" s="1"/>
  <c r="AL110" i="1" s="1"/>
  <c r="AM110" i="1" s="1"/>
  <c r="AN110" i="1" s="1"/>
  <c r="AH115" i="1"/>
  <c r="AI115" i="1" s="1"/>
  <c r="AL115" i="1" s="1"/>
  <c r="AO115" i="1" s="1"/>
  <c r="AH117" i="1"/>
  <c r="AI117" i="1" s="1"/>
  <c r="AL117" i="1" s="1"/>
  <c r="AM117" i="1" s="1"/>
  <c r="AN117" i="1" s="1"/>
  <c r="AH118" i="1"/>
  <c r="AI118" i="1" s="1"/>
  <c r="AL118" i="1" s="1"/>
  <c r="AM118" i="1" s="1"/>
  <c r="AN118" i="1" s="1"/>
  <c r="AH119" i="1"/>
  <c r="AI119" i="1" s="1"/>
  <c r="AL119" i="1" s="1"/>
  <c r="AO119" i="1" s="1"/>
  <c r="AH120" i="1"/>
  <c r="AI120" i="1" s="1"/>
  <c r="AL120" i="1" s="1"/>
  <c r="AM120" i="1" s="1"/>
  <c r="AN120" i="1" s="1"/>
  <c r="AH121" i="1"/>
  <c r="AI121" i="1" s="1"/>
  <c r="AL121" i="1" s="1"/>
  <c r="AO121" i="1" s="1"/>
  <c r="AH122" i="1"/>
  <c r="AI122" i="1" s="1"/>
  <c r="AL122" i="1" s="1"/>
  <c r="AM122" i="1" s="1"/>
  <c r="AN122" i="1" s="1"/>
  <c r="AH123" i="1"/>
  <c r="AI123" i="1" s="1"/>
  <c r="AL123" i="1" s="1"/>
  <c r="AO123" i="1" s="1"/>
  <c r="AH157" i="1"/>
  <c r="AI157" i="1" s="1"/>
  <c r="AL157" i="1" s="1"/>
  <c r="AM157" i="1" s="1"/>
  <c r="AN157" i="1" s="1"/>
  <c r="AH158" i="1"/>
  <c r="AI158" i="1" s="1"/>
  <c r="AL158" i="1" s="1"/>
  <c r="AO158" i="1" s="1"/>
  <c r="AH108" i="1"/>
  <c r="AI108" i="1" s="1"/>
  <c r="AL108" i="1" s="1"/>
  <c r="AM108" i="1" s="1"/>
  <c r="AN108" i="1" s="1"/>
  <c r="AH142" i="1"/>
  <c r="AI142" i="1" s="1"/>
  <c r="AL142" i="1" s="1"/>
  <c r="AO142" i="1" s="1"/>
  <c r="AH109" i="1"/>
  <c r="AI109" i="1" s="1"/>
  <c r="AL109" i="1" s="1"/>
  <c r="AM109" i="1" s="1"/>
  <c r="AN109" i="1" s="1"/>
  <c r="AH140" i="1"/>
  <c r="AI140" i="1" s="1"/>
  <c r="AL140" i="1" s="1"/>
  <c r="AM140" i="1" s="1"/>
  <c r="AN140" i="1" s="1"/>
  <c r="AH141" i="1"/>
  <c r="AI141" i="1" s="1"/>
  <c r="AL141" i="1" s="1"/>
  <c r="AO141" i="1" s="1"/>
  <c r="AH143" i="1"/>
  <c r="AI143" i="1" s="1"/>
  <c r="AL143" i="1" s="1"/>
  <c r="AM143" i="1" s="1"/>
  <c r="AN143" i="1" s="1"/>
  <c r="AH159" i="1"/>
  <c r="AI159" i="1" s="1"/>
  <c r="AL159" i="1" s="1"/>
  <c r="AM159" i="1" s="1"/>
  <c r="AN159" i="1" s="1"/>
  <c r="AH125" i="1"/>
  <c r="AI125" i="1" s="1"/>
  <c r="AL125" i="1" s="1"/>
  <c r="AM125" i="1" s="1"/>
  <c r="AN125" i="1" s="1"/>
  <c r="AM127" i="1"/>
  <c r="AN127" i="1" s="1"/>
  <c r="AM141" i="1"/>
  <c r="AN141" i="1" s="1"/>
  <c r="AO122" i="1"/>
  <c r="AO118" i="1"/>
  <c r="AO114" i="1"/>
  <c r="AM114" i="1"/>
  <c r="AN114" i="1" s="1"/>
  <c r="AO143" i="1" l="1"/>
  <c r="AM123" i="1"/>
  <c r="AN123" i="1" s="1"/>
  <c r="AM119" i="1"/>
  <c r="AN119" i="1" s="1"/>
  <c r="AM142" i="1"/>
  <c r="AN142" i="1" s="1"/>
  <c r="AP124" i="1"/>
  <c r="AQ124" i="1" s="1"/>
  <c r="AT124" i="1" s="1"/>
  <c r="AV124" i="1" s="1"/>
  <c r="AM156" i="1"/>
  <c r="AN156" i="1" s="1"/>
  <c r="AO140" i="1"/>
  <c r="AO159" i="1"/>
  <c r="AM115" i="1"/>
  <c r="AN115" i="1" s="1"/>
  <c r="AP112" i="1" s="1"/>
  <c r="AQ112" i="1" s="1"/>
  <c r="AT112" i="1" s="1"/>
  <c r="AO120" i="1"/>
  <c r="AO157" i="1"/>
  <c r="AP116" i="1"/>
  <c r="AQ116" i="1" s="1"/>
  <c r="AT116" i="1" s="1"/>
  <c r="AU116" i="1" s="1"/>
  <c r="AM121" i="1"/>
  <c r="AN121" i="1" s="1"/>
  <c r="AM158" i="1"/>
  <c r="AN158" i="1" s="1"/>
  <c r="AP156" i="1" s="1"/>
  <c r="AQ156" i="1" s="1"/>
  <c r="AT156" i="1" s="1"/>
  <c r="AO126" i="1"/>
  <c r="AP108" i="1"/>
  <c r="AQ108" i="1" s="1"/>
  <c r="AT108" i="1" s="1"/>
  <c r="AP140" i="1"/>
  <c r="AQ140" i="1" s="1"/>
  <c r="AT140" i="1" s="1"/>
  <c r="AP120" i="1" l="1"/>
  <c r="AQ120" i="1" s="1"/>
  <c r="AT120" i="1" s="1"/>
  <c r="AU112" i="1"/>
  <c r="AV112" i="1"/>
  <c r="AU124" i="1"/>
  <c r="AV116" i="1"/>
  <c r="AV120" i="1"/>
  <c r="AU120" i="1"/>
  <c r="AV108" i="1"/>
  <c r="AU108" i="1"/>
  <c r="AV156" i="1"/>
  <c r="AU156" i="1"/>
  <c r="AU140" i="1"/>
  <c r="AV140" i="1"/>
  <c r="AK107" i="1" l="1"/>
  <c r="AG107" i="1"/>
  <c r="AE107" i="1"/>
  <c r="AC107" i="1"/>
  <c r="AA107" i="1"/>
  <c r="Y107" i="1"/>
  <c r="W107" i="1"/>
  <c r="U107" i="1"/>
  <c r="AK106" i="1"/>
  <c r="AG106" i="1"/>
  <c r="AE106" i="1"/>
  <c r="AC106" i="1"/>
  <c r="AA106" i="1"/>
  <c r="Y106" i="1"/>
  <c r="W106" i="1"/>
  <c r="U106" i="1"/>
  <c r="AK105" i="1"/>
  <c r="AG105" i="1"/>
  <c r="AE105" i="1"/>
  <c r="AC105" i="1"/>
  <c r="AA105" i="1"/>
  <c r="Y105" i="1"/>
  <c r="W105" i="1"/>
  <c r="U105" i="1"/>
  <c r="AY104" i="1"/>
  <c r="AZ104" i="1" s="1"/>
  <c r="AK104" i="1"/>
  <c r="AG104" i="1"/>
  <c r="AE104" i="1"/>
  <c r="AC104" i="1"/>
  <c r="AA104" i="1"/>
  <c r="Y104" i="1"/>
  <c r="W104" i="1"/>
  <c r="U104" i="1"/>
  <c r="P104" i="1"/>
  <c r="Q104" i="1" s="1"/>
  <c r="M104" i="1"/>
  <c r="AK103" i="1"/>
  <c r="AG103" i="1"/>
  <c r="AE103" i="1"/>
  <c r="AC103" i="1"/>
  <c r="AA103" i="1"/>
  <c r="Y103" i="1"/>
  <c r="W103" i="1"/>
  <c r="U103" i="1"/>
  <c r="AK102" i="1"/>
  <c r="AG102" i="1"/>
  <c r="AE102" i="1"/>
  <c r="AC102" i="1"/>
  <c r="AA102" i="1"/>
  <c r="Y102" i="1"/>
  <c r="W102" i="1"/>
  <c r="U102" i="1"/>
  <c r="AK101" i="1"/>
  <c r="AG101" i="1"/>
  <c r="AE101" i="1"/>
  <c r="AC101" i="1"/>
  <c r="AA101" i="1"/>
  <c r="Y101" i="1"/>
  <c r="W101" i="1"/>
  <c r="U101" i="1"/>
  <c r="AY100" i="1"/>
  <c r="AZ100" i="1" s="1"/>
  <c r="AK100" i="1"/>
  <c r="AG100" i="1"/>
  <c r="AE100" i="1"/>
  <c r="AC100" i="1"/>
  <c r="AA100" i="1"/>
  <c r="Y100" i="1"/>
  <c r="W100" i="1"/>
  <c r="U100" i="1"/>
  <c r="P100" i="1"/>
  <c r="Q100" i="1" s="1"/>
  <c r="M100" i="1"/>
  <c r="AK99" i="1"/>
  <c r="AG99" i="1"/>
  <c r="AE99" i="1"/>
  <c r="AC99" i="1"/>
  <c r="AA99" i="1"/>
  <c r="Y99" i="1"/>
  <c r="W99" i="1"/>
  <c r="U99" i="1"/>
  <c r="AK98" i="1"/>
  <c r="AG98" i="1"/>
  <c r="AE98" i="1"/>
  <c r="AC98" i="1"/>
  <c r="AA98" i="1"/>
  <c r="Y98" i="1"/>
  <c r="W98" i="1"/>
  <c r="U98" i="1"/>
  <c r="AK97" i="1"/>
  <c r="AG97" i="1"/>
  <c r="AE97" i="1"/>
  <c r="AC97" i="1"/>
  <c r="AA97" i="1"/>
  <c r="Y97" i="1"/>
  <c r="W97" i="1"/>
  <c r="U97" i="1"/>
  <c r="AY96" i="1"/>
  <c r="AZ96" i="1" s="1"/>
  <c r="AK96" i="1"/>
  <c r="AG96" i="1"/>
  <c r="AE96" i="1"/>
  <c r="AC96" i="1"/>
  <c r="AA96" i="1"/>
  <c r="Y96" i="1"/>
  <c r="W96" i="1"/>
  <c r="U96" i="1"/>
  <c r="P96" i="1"/>
  <c r="Q96" i="1" s="1"/>
  <c r="M96" i="1"/>
  <c r="AK95" i="1"/>
  <c r="AG95" i="1"/>
  <c r="AE95" i="1"/>
  <c r="AC95" i="1"/>
  <c r="AA95" i="1"/>
  <c r="Y95" i="1"/>
  <c r="W95" i="1"/>
  <c r="U95" i="1"/>
  <c r="AK94" i="1"/>
  <c r="AG94" i="1"/>
  <c r="AE94" i="1"/>
  <c r="AC94" i="1"/>
  <c r="AA94" i="1"/>
  <c r="Y94" i="1"/>
  <c r="W94" i="1"/>
  <c r="U94" i="1"/>
  <c r="AK93" i="1"/>
  <c r="AG93" i="1"/>
  <c r="AE93" i="1"/>
  <c r="AC93" i="1"/>
  <c r="AA93" i="1"/>
  <c r="Y93" i="1"/>
  <c r="W93" i="1"/>
  <c r="U93" i="1"/>
  <c r="AY92" i="1"/>
  <c r="AZ92" i="1" s="1"/>
  <c r="AK92" i="1"/>
  <c r="AG92" i="1"/>
  <c r="AE92" i="1"/>
  <c r="AC92" i="1"/>
  <c r="AA92" i="1"/>
  <c r="Y92" i="1"/>
  <c r="W92" i="1"/>
  <c r="U92" i="1"/>
  <c r="P92" i="1"/>
  <c r="Q92" i="1" s="1"/>
  <c r="M92" i="1"/>
  <c r="AH105" i="1" l="1"/>
  <c r="AI105" i="1" s="1"/>
  <c r="AL105" i="1" s="1"/>
  <c r="AH106" i="1"/>
  <c r="AI106" i="1" s="1"/>
  <c r="AL106" i="1" s="1"/>
  <c r="AO106" i="1" s="1"/>
  <c r="AH107" i="1"/>
  <c r="AI107" i="1" s="1"/>
  <c r="AL107" i="1" s="1"/>
  <c r="AO107" i="1" s="1"/>
  <c r="AH100" i="1"/>
  <c r="AI100" i="1" s="1"/>
  <c r="AL100" i="1" s="1"/>
  <c r="AM100" i="1" s="1"/>
  <c r="AN100" i="1" s="1"/>
  <c r="AH101" i="1"/>
  <c r="AI101" i="1" s="1"/>
  <c r="AL101" i="1" s="1"/>
  <c r="AH103" i="1"/>
  <c r="AI103" i="1" s="1"/>
  <c r="AL103" i="1" s="1"/>
  <c r="AM103" i="1" s="1"/>
  <c r="AN103" i="1" s="1"/>
  <c r="AH104" i="1"/>
  <c r="AI104" i="1" s="1"/>
  <c r="AL104" i="1" s="1"/>
  <c r="AM104" i="1" s="1"/>
  <c r="AN104" i="1" s="1"/>
  <c r="AH92" i="1"/>
  <c r="AI92" i="1" s="1"/>
  <c r="AL92" i="1" s="1"/>
  <c r="AO92" i="1" s="1"/>
  <c r="AH94" i="1"/>
  <c r="AI94" i="1" s="1"/>
  <c r="AL94" i="1" s="1"/>
  <c r="AH96" i="1"/>
  <c r="AI96" i="1" s="1"/>
  <c r="AL96" i="1" s="1"/>
  <c r="AM96" i="1" s="1"/>
  <c r="AN96" i="1" s="1"/>
  <c r="AH97" i="1"/>
  <c r="AI97" i="1" s="1"/>
  <c r="AL97" i="1" s="1"/>
  <c r="AM97" i="1" s="1"/>
  <c r="AN97" i="1" s="1"/>
  <c r="AH99" i="1"/>
  <c r="AI99" i="1" s="1"/>
  <c r="AL99" i="1" s="1"/>
  <c r="AO99" i="1" s="1"/>
  <c r="AH98" i="1"/>
  <c r="AI98" i="1" s="1"/>
  <c r="AL98" i="1" s="1"/>
  <c r="AH93" i="1"/>
  <c r="AI93" i="1" s="1"/>
  <c r="AL93" i="1" s="1"/>
  <c r="AM93" i="1" s="1"/>
  <c r="AN93" i="1" s="1"/>
  <c r="AH95" i="1"/>
  <c r="AI95" i="1" s="1"/>
  <c r="AL95" i="1" s="1"/>
  <c r="AO95" i="1" s="1"/>
  <c r="AH102" i="1"/>
  <c r="AI102" i="1" s="1"/>
  <c r="AL102" i="1" s="1"/>
  <c r="AM102" i="1" s="1"/>
  <c r="AN102" i="1" s="1"/>
  <c r="AO105" i="1"/>
  <c r="AM105" i="1"/>
  <c r="AN105" i="1" s="1"/>
  <c r="AM106" i="1"/>
  <c r="AN106" i="1" s="1"/>
  <c r="AO104" i="1"/>
  <c r="AM101" i="1"/>
  <c r="AN101" i="1" s="1"/>
  <c r="AO101" i="1"/>
  <c r="AO98" i="1"/>
  <c r="AM98" i="1"/>
  <c r="AN98" i="1" s="1"/>
  <c r="AO94" i="1"/>
  <c r="AM94" i="1"/>
  <c r="AN94" i="1" s="1"/>
  <c r="AO93" i="1" l="1"/>
  <c r="AO96" i="1"/>
  <c r="AM92" i="1"/>
  <c r="AN92" i="1" s="1"/>
  <c r="AO100" i="1"/>
  <c r="AM99" i="1"/>
  <c r="AN99" i="1" s="1"/>
  <c r="AO97" i="1"/>
  <c r="AM95" i="1"/>
  <c r="AN95" i="1" s="1"/>
  <c r="AP92" i="1" s="1"/>
  <c r="AQ92" i="1" s="1"/>
  <c r="AT92" i="1" s="1"/>
  <c r="AU92" i="1" s="1"/>
  <c r="AO103" i="1"/>
  <c r="AM107" i="1"/>
  <c r="AN107" i="1" s="1"/>
  <c r="AO102" i="1"/>
  <c r="AP104" i="1"/>
  <c r="AQ104" i="1" s="1"/>
  <c r="AT104" i="1" s="1"/>
  <c r="AP100" i="1"/>
  <c r="AQ100" i="1" s="1"/>
  <c r="AT100" i="1" s="1"/>
  <c r="AP96" i="1"/>
  <c r="AQ96" i="1" s="1"/>
  <c r="AT96" i="1" s="1"/>
  <c r="AV92" i="1" l="1"/>
  <c r="AV104" i="1"/>
  <c r="AU104" i="1"/>
  <c r="AV100" i="1"/>
  <c r="AU100" i="1"/>
  <c r="AU96" i="1"/>
  <c r="AV96" i="1"/>
  <c r="AY91" i="1" l="1"/>
  <c r="AZ91" i="1" s="1"/>
  <c r="AO91" i="1"/>
  <c r="AN91" i="1"/>
  <c r="AP91" i="1" s="1"/>
  <c r="AQ91" i="1" s="1"/>
  <c r="AT91" i="1" s="1"/>
  <c r="AG91" i="1"/>
  <c r="AE91" i="1"/>
  <c r="AC91" i="1"/>
  <c r="AA91" i="1"/>
  <c r="Y91" i="1"/>
  <c r="W91" i="1"/>
  <c r="U91" i="1"/>
  <c r="P91" i="1"/>
  <c r="Q91" i="1" s="1"/>
  <c r="M91" i="1"/>
  <c r="AK90" i="1"/>
  <c r="AG90" i="1"/>
  <c r="AE90" i="1"/>
  <c r="AC90" i="1"/>
  <c r="AA90" i="1"/>
  <c r="Y90" i="1"/>
  <c r="W90" i="1"/>
  <c r="U90" i="1"/>
  <c r="AK89" i="1"/>
  <c r="AG89" i="1"/>
  <c r="AE89" i="1"/>
  <c r="AC89" i="1"/>
  <c r="AA89" i="1"/>
  <c r="Y89" i="1"/>
  <c r="W89" i="1"/>
  <c r="U89" i="1"/>
  <c r="AK88" i="1"/>
  <c r="AG88" i="1"/>
  <c r="AE88" i="1"/>
  <c r="AC88" i="1"/>
  <c r="AA88" i="1"/>
  <c r="Y88" i="1"/>
  <c r="W88" i="1"/>
  <c r="U88" i="1"/>
  <c r="AY87" i="1"/>
  <c r="AZ87" i="1" s="1"/>
  <c r="AK87" i="1"/>
  <c r="AG87" i="1"/>
  <c r="AE87" i="1"/>
  <c r="AC87" i="1"/>
  <c r="AA87" i="1"/>
  <c r="Y87" i="1"/>
  <c r="W87" i="1"/>
  <c r="U87" i="1"/>
  <c r="P87" i="1"/>
  <c r="Q87" i="1" s="1"/>
  <c r="M87" i="1"/>
  <c r="AK86" i="1"/>
  <c r="AG86" i="1"/>
  <c r="AE86" i="1"/>
  <c r="AC86" i="1"/>
  <c r="AA86" i="1"/>
  <c r="Y86" i="1"/>
  <c r="W86" i="1"/>
  <c r="U86" i="1"/>
  <c r="AY85" i="1"/>
  <c r="AZ85" i="1" s="1"/>
  <c r="AK85" i="1"/>
  <c r="AG85" i="1"/>
  <c r="AE85" i="1"/>
  <c r="AC85" i="1"/>
  <c r="AA85" i="1"/>
  <c r="Y85" i="1"/>
  <c r="W85" i="1"/>
  <c r="U85" i="1"/>
  <c r="P85" i="1"/>
  <c r="Q85" i="1" s="1"/>
  <c r="M85" i="1"/>
  <c r="AH89" i="1" l="1"/>
  <c r="AI89" i="1" s="1"/>
  <c r="AL89" i="1" s="1"/>
  <c r="AM89" i="1" s="1"/>
  <c r="AN89" i="1" s="1"/>
  <c r="AH91" i="1"/>
  <c r="AI91" i="1" s="1"/>
  <c r="AH87" i="1"/>
  <c r="AI87" i="1" s="1"/>
  <c r="AL87" i="1" s="1"/>
  <c r="AO87" i="1" s="1"/>
  <c r="AH88" i="1"/>
  <c r="AI88" i="1" s="1"/>
  <c r="AL88" i="1" s="1"/>
  <c r="AO88" i="1" s="1"/>
  <c r="AH90" i="1"/>
  <c r="AI90" i="1" s="1"/>
  <c r="AL90" i="1" s="1"/>
  <c r="AO90" i="1" s="1"/>
  <c r="AU91" i="1"/>
  <c r="AV91" i="1"/>
  <c r="AO89" i="1"/>
  <c r="AM88" i="1"/>
  <c r="AN88" i="1" s="1"/>
  <c r="AH85" i="1"/>
  <c r="AI85" i="1" s="1"/>
  <c r="AL85" i="1" s="1"/>
  <c r="AO85" i="1" s="1"/>
  <c r="AH86" i="1"/>
  <c r="AI86" i="1" s="1"/>
  <c r="AL86" i="1" s="1"/>
  <c r="AO86" i="1" s="1"/>
  <c r="AM87" i="1" l="1"/>
  <c r="AN87" i="1" s="1"/>
  <c r="AM90" i="1"/>
  <c r="AN90" i="1" s="1"/>
  <c r="AP87" i="1" s="1"/>
  <c r="AQ87" i="1" s="1"/>
  <c r="AT87" i="1" s="1"/>
  <c r="AM86" i="1"/>
  <c r="AN86" i="1" s="1"/>
  <c r="AM85" i="1"/>
  <c r="AN85" i="1" s="1"/>
  <c r="AP85" i="1" l="1"/>
  <c r="AQ85" i="1" s="1"/>
  <c r="AT85" i="1" s="1"/>
  <c r="AV85" i="1" s="1"/>
  <c r="AU87" i="1"/>
  <c r="AV87" i="1"/>
  <c r="AU85" i="1" l="1"/>
  <c r="AY73" i="1"/>
  <c r="AZ73" i="1" s="1"/>
  <c r="P73" i="1"/>
  <c r="Q73" i="1" s="1"/>
  <c r="M73" i="1"/>
  <c r="AK72" i="1"/>
  <c r="AG72" i="1"/>
  <c r="AE72" i="1"/>
  <c r="AC72" i="1"/>
  <c r="AA72" i="1"/>
  <c r="Y72" i="1"/>
  <c r="W72" i="1"/>
  <c r="U72" i="1"/>
  <c r="AK71" i="1"/>
  <c r="AG71" i="1"/>
  <c r="AE71" i="1"/>
  <c r="AC71" i="1"/>
  <c r="AA71" i="1"/>
  <c r="Y71" i="1"/>
  <c r="W71" i="1"/>
  <c r="U71" i="1"/>
  <c r="AK70" i="1"/>
  <c r="AG70" i="1"/>
  <c r="AE70" i="1"/>
  <c r="AC70" i="1"/>
  <c r="AA70" i="1"/>
  <c r="Y70" i="1"/>
  <c r="W70" i="1"/>
  <c r="U70" i="1"/>
  <c r="AY69" i="1"/>
  <c r="AZ69" i="1" s="1"/>
  <c r="AK69" i="1"/>
  <c r="AG69" i="1"/>
  <c r="AE69" i="1"/>
  <c r="AC69" i="1"/>
  <c r="AA69" i="1"/>
  <c r="Y69" i="1"/>
  <c r="W69" i="1"/>
  <c r="U69" i="1"/>
  <c r="P69" i="1"/>
  <c r="Q69" i="1" s="1"/>
  <c r="M69" i="1"/>
  <c r="U61" i="1"/>
  <c r="W61" i="1"/>
  <c r="Y61" i="1"/>
  <c r="AA61" i="1"/>
  <c r="AC61" i="1"/>
  <c r="AE61" i="1"/>
  <c r="AG61" i="1"/>
  <c r="AK61" i="1"/>
  <c r="U62" i="1"/>
  <c r="W62" i="1"/>
  <c r="Y62" i="1"/>
  <c r="AA62" i="1"/>
  <c r="AC62" i="1"/>
  <c r="AE62" i="1"/>
  <c r="AG62" i="1"/>
  <c r="AK62" i="1"/>
  <c r="U63" i="1"/>
  <c r="W63" i="1"/>
  <c r="Y63" i="1"/>
  <c r="AA63" i="1"/>
  <c r="AC63" i="1"/>
  <c r="AE63" i="1"/>
  <c r="AG63" i="1"/>
  <c r="AK63" i="1"/>
  <c r="AH61" i="1" l="1"/>
  <c r="AI61" i="1" s="1"/>
  <c r="AL61" i="1" s="1"/>
  <c r="AM61" i="1" s="1"/>
  <c r="AN61" i="1" s="1"/>
  <c r="AH63" i="1"/>
  <c r="AI63" i="1" s="1"/>
  <c r="AL63" i="1" s="1"/>
  <c r="AM63" i="1" s="1"/>
  <c r="AN63" i="1" s="1"/>
  <c r="AH71" i="1"/>
  <c r="AI71" i="1" s="1"/>
  <c r="AL71" i="1" s="1"/>
  <c r="AM71" i="1" s="1"/>
  <c r="AN71" i="1" s="1"/>
  <c r="AH62" i="1"/>
  <c r="AI62" i="1" s="1"/>
  <c r="AL62" i="1" s="1"/>
  <c r="AO62" i="1" s="1"/>
  <c r="AH69" i="1"/>
  <c r="AI69" i="1" s="1"/>
  <c r="AL69" i="1" s="1"/>
  <c r="AO69" i="1" s="1"/>
  <c r="AH70" i="1"/>
  <c r="AI70" i="1" s="1"/>
  <c r="AL70" i="1" s="1"/>
  <c r="AO70" i="1" s="1"/>
  <c r="AH72" i="1"/>
  <c r="AI72" i="1" s="1"/>
  <c r="AL72" i="1" s="1"/>
  <c r="AM72" i="1" s="1"/>
  <c r="AN72" i="1" s="1"/>
  <c r="AO61" i="1" l="1"/>
  <c r="AO72" i="1"/>
  <c r="AM69" i="1"/>
  <c r="AN69" i="1" s="1"/>
  <c r="AO71" i="1"/>
  <c r="AM62" i="1"/>
  <c r="AN62" i="1" s="1"/>
  <c r="AO63" i="1"/>
  <c r="AM70" i="1"/>
  <c r="AN70" i="1" s="1"/>
  <c r="AP69" i="1" l="1"/>
  <c r="AQ69" i="1" s="1"/>
  <c r="AT69" i="1" s="1"/>
  <c r="AU69" i="1" s="1"/>
  <c r="AV69" i="1" l="1"/>
  <c r="AK60" i="1"/>
  <c r="AG60" i="1"/>
  <c r="AE60" i="1"/>
  <c r="AC60" i="1"/>
  <c r="AA60" i="1"/>
  <c r="Y60" i="1"/>
  <c r="W60" i="1"/>
  <c r="U60" i="1"/>
  <c r="AK59" i="1"/>
  <c r="AG59" i="1"/>
  <c r="AE59" i="1"/>
  <c r="AC59" i="1"/>
  <c r="AA59" i="1"/>
  <c r="Y59" i="1"/>
  <c r="W59" i="1"/>
  <c r="U59" i="1"/>
  <c r="AK58" i="1"/>
  <c r="AG58" i="1"/>
  <c r="AE58" i="1"/>
  <c r="AC58" i="1"/>
  <c r="AA58" i="1"/>
  <c r="Y58" i="1"/>
  <c r="W58" i="1"/>
  <c r="U58" i="1"/>
  <c r="AY57" i="1"/>
  <c r="AZ57" i="1" s="1"/>
  <c r="AK57" i="1"/>
  <c r="AG57" i="1"/>
  <c r="AE57" i="1"/>
  <c r="AC57" i="1"/>
  <c r="AA57" i="1"/>
  <c r="Y57" i="1"/>
  <c r="W57" i="1"/>
  <c r="U57" i="1"/>
  <c r="P57" i="1"/>
  <c r="Q57" i="1" s="1"/>
  <c r="M57" i="1"/>
  <c r="AK56" i="1"/>
  <c r="AG56" i="1"/>
  <c r="AE56" i="1"/>
  <c r="AC56" i="1"/>
  <c r="AA56" i="1"/>
  <c r="Y56" i="1"/>
  <c r="W56" i="1"/>
  <c r="U56" i="1"/>
  <c r="AK55" i="1"/>
  <c r="AG55" i="1"/>
  <c r="AE55" i="1"/>
  <c r="AC55" i="1"/>
  <c r="AA55" i="1"/>
  <c r="Y55" i="1"/>
  <c r="W55" i="1"/>
  <c r="U55" i="1"/>
  <c r="AK54" i="1"/>
  <c r="AG54" i="1"/>
  <c r="AE54" i="1"/>
  <c r="AC54" i="1"/>
  <c r="AA54" i="1"/>
  <c r="Y54" i="1"/>
  <c r="W54" i="1"/>
  <c r="U54" i="1"/>
  <c r="AY53" i="1"/>
  <c r="AZ53" i="1" s="1"/>
  <c r="AK53" i="1"/>
  <c r="AG53" i="1"/>
  <c r="AE53" i="1"/>
  <c r="AC53" i="1"/>
  <c r="AA53" i="1"/>
  <c r="Y53" i="1"/>
  <c r="W53" i="1"/>
  <c r="U53" i="1"/>
  <c r="P53" i="1"/>
  <c r="Q53" i="1" s="1"/>
  <c r="M53" i="1"/>
  <c r="AK52" i="1"/>
  <c r="AG52" i="1"/>
  <c r="AE52" i="1"/>
  <c r="AC52" i="1"/>
  <c r="AA52" i="1"/>
  <c r="Y52" i="1"/>
  <c r="W52" i="1"/>
  <c r="U52" i="1"/>
  <c r="AY51" i="1"/>
  <c r="AZ51" i="1" s="1"/>
  <c r="AK51" i="1"/>
  <c r="AG51" i="1"/>
  <c r="AE51" i="1"/>
  <c r="AC51" i="1"/>
  <c r="AA51" i="1"/>
  <c r="Y51" i="1"/>
  <c r="W51" i="1"/>
  <c r="U51" i="1"/>
  <c r="P51" i="1"/>
  <c r="Q51" i="1" s="1"/>
  <c r="M51" i="1"/>
  <c r="AH55" i="1" l="1"/>
  <c r="AI55" i="1" s="1"/>
  <c r="AL55" i="1" s="1"/>
  <c r="AH57" i="1"/>
  <c r="AI57" i="1" s="1"/>
  <c r="AL57" i="1" s="1"/>
  <c r="AH58" i="1"/>
  <c r="AI58" i="1" s="1"/>
  <c r="AL58" i="1" s="1"/>
  <c r="AO58" i="1" s="1"/>
  <c r="AH60" i="1"/>
  <c r="AI60" i="1" s="1"/>
  <c r="AL60" i="1" s="1"/>
  <c r="AO60" i="1" s="1"/>
  <c r="AH51" i="1"/>
  <c r="AI51" i="1" s="1"/>
  <c r="AL51" i="1" s="1"/>
  <c r="AO51" i="1" s="1"/>
  <c r="AH53" i="1"/>
  <c r="AI53" i="1" s="1"/>
  <c r="AL53" i="1" s="1"/>
  <c r="AO53" i="1" s="1"/>
  <c r="AH54" i="1"/>
  <c r="AI54" i="1" s="1"/>
  <c r="AL54" i="1" s="1"/>
  <c r="AO54" i="1" s="1"/>
  <c r="AH56" i="1"/>
  <c r="AI56" i="1" s="1"/>
  <c r="AL56" i="1" s="1"/>
  <c r="AO56" i="1" s="1"/>
  <c r="AH59" i="1"/>
  <c r="AI59" i="1" s="1"/>
  <c r="AL59" i="1" s="1"/>
  <c r="AO59" i="1" s="1"/>
  <c r="AM57" i="1"/>
  <c r="AN57" i="1" s="1"/>
  <c r="AO57" i="1"/>
  <c r="AM60" i="1"/>
  <c r="AN60" i="1" s="1"/>
  <c r="AO55" i="1"/>
  <c r="AM55" i="1"/>
  <c r="AN55" i="1" s="1"/>
  <c r="AM56" i="1"/>
  <c r="AN56" i="1" s="1"/>
  <c r="AH52" i="1"/>
  <c r="AI52" i="1" s="1"/>
  <c r="AL52" i="1" s="1"/>
  <c r="AO52" i="1" s="1"/>
  <c r="AM51" i="1" l="1"/>
  <c r="AN51" i="1" s="1"/>
  <c r="AM59" i="1"/>
  <c r="AN59" i="1" s="1"/>
  <c r="AM54" i="1"/>
  <c r="AN54" i="1" s="1"/>
  <c r="AM53" i="1"/>
  <c r="AN53" i="1" s="1"/>
  <c r="AM58" i="1"/>
  <c r="AN58" i="1" s="1"/>
  <c r="AM52" i="1"/>
  <c r="AN52" i="1" s="1"/>
  <c r="AP57" i="1" l="1"/>
  <c r="AQ57" i="1" s="1"/>
  <c r="AT57" i="1" s="1"/>
  <c r="AU57" i="1" s="1"/>
  <c r="AP51" i="1"/>
  <c r="AQ51" i="1" s="1"/>
  <c r="AT51" i="1" s="1"/>
  <c r="AU51" i="1" s="1"/>
  <c r="AP53" i="1"/>
  <c r="AQ53" i="1" s="1"/>
  <c r="AT53" i="1" s="1"/>
  <c r="AU53" i="1" s="1"/>
  <c r="AV57" i="1" l="1"/>
  <c r="AV51" i="1"/>
  <c r="AV53" i="1"/>
  <c r="AK50" i="1"/>
  <c r="AG50" i="1"/>
  <c r="AE50" i="1"/>
  <c r="AC50" i="1"/>
  <c r="AA50" i="1"/>
  <c r="Y50" i="1"/>
  <c r="W50" i="1"/>
  <c r="U50" i="1"/>
  <c r="AY49" i="1"/>
  <c r="AZ49" i="1" s="1"/>
  <c r="AK49" i="1"/>
  <c r="AG49" i="1"/>
  <c r="AE49" i="1"/>
  <c r="AC49" i="1"/>
  <c r="AA49" i="1"/>
  <c r="Y49" i="1"/>
  <c r="W49" i="1"/>
  <c r="U49" i="1"/>
  <c r="P49" i="1"/>
  <c r="Q49" i="1" s="1"/>
  <c r="M49" i="1"/>
  <c r="AK48" i="1"/>
  <c r="AG48" i="1"/>
  <c r="AE48" i="1"/>
  <c r="AC48" i="1"/>
  <c r="AA48" i="1"/>
  <c r="Y48" i="1"/>
  <c r="W48" i="1"/>
  <c r="U48" i="1"/>
  <c r="AY47" i="1"/>
  <c r="AZ47" i="1" s="1"/>
  <c r="AK47" i="1"/>
  <c r="AG47" i="1"/>
  <c r="AE47" i="1"/>
  <c r="AC47" i="1"/>
  <c r="AA47" i="1"/>
  <c r="Y47" i="1"/>
  <c r="W47" i="1"/>
  <c r="U47" i="1"/>
  <c r="P47" i="1"/>
  <c r="Q47" i="1" s="1"/>
  <c r="M47" i="1"/>
  <c r="AH48" i="1" l="1"/>
  <c r="AI48" i="1" s="1"/>
  <c r="AL48" i="1" s="1"/>
  <c r="AO48" i="1" s="1"/>
  <c r="AH47" i="1"/>
  <c r="AI47" i="1" s="1"/>
  <c r="AL47" i="1" s="1"/>
  <c r="AO47" i="1" s="1"/>
  <c r="AH49" i="1"/>
  <c r="AI49" i="1" s="1"/>
  <c r="AL49" i="1" s="1"/>
  <c r="AM49" i="1" s="1"/>
  <c r="AN49" i="1" s="1"/>
  <c r="AH50" i="1"/>
  <c r="AI50" i="1" s="1"/>
  <c r="AL50" i="1" s="1"/>
  <c r="AO50" i="1" s="1"/>
  <c r="AM48" i="1"/>
  <c r="AN48" i="1" s="1"/>
  <c r="AM50" i="1" l="1"/>
  <c r="AN50" i="1" s="1"/>
  <c r="AP49" i="1" s="1"/>
  <c r="AQ49" i="1" s="1"/>
  <c r="AT49" i="1" s="1"/>
  <c r="AO49" i="1"/>
  <c r="AM47" i="1"/>
  <c r="AN47" i="1" s="1"/>
  <c r="AP47" i="1" s="1"/>
  <c r="AQ47" i="1" s="1"/>
  <c r="AT47" i="1" s="1"/>
  <c r="AV49" i="1" l="1"/>
  <c r="AU49" i="1"/>
  <c r="AV47" i="1"/>
  <c r="AU47" i="1"/>
  <c r="AK84" i="1" l="1"/>
  <c r="AG84" i="1"/>
  <c r="AE84" i="1"/>
  <c r="AC84" i="1"/>
  <c r="AA84" i="1"/>
  <c r="Y84" i="1"/>
  <c r="W84" i="1"/>
  <c r="U84" i="1"/>
  <c r="AK83" i="1"/>
  <c r="AG83" i="1"/>
  <c r="AE83" i="1"/>
  <c r="AC83" i="1"/>
  <c r="AA83" i="1"/>
  <c r="Y83" i="1"/>
  <c r="W83" i="1"/>
  <c r="U83" i="1"/>
  <c r="AK82" i="1"/>
  <c r="AG82" i="1"/>
  <c r="AE82" i="1"/>
  <c r="AC82" i="1"/>
  <c r="AA82" i="1"/>
  <c r="Y82" i="1"/>
  <c r="W82" i="1"/>
  <c r="U82" i="1"/>
  <c r="AY81" i="1"/>
  <c r="AZ81" i="1" s="1"/>
  <c r="AK81" i="1"/>
  <c r="AG81" i="1"/>
  <c r="AE81" i="1"/>
  <c r="AC81" i="1"/>
  <c r="AA81" i="1"/>
  <c r="Y81" i="1"/>
  <c r="W81" i="1"/>
  <c r="U81" i="1"/>
  <c r="P81" i="1"/>
  <c r="Q81" i="1" s="1"/>
  <c r="M81" i="1"/>
  <c r="AK80" i="1"/>
  <c r="AG80" i="1"/>
  <c r="AE80" i="1"/>
  <c r="AC80" i="1"/>
  <c r="AA80" i="1"/>
  <c r="Y80" i="1"/>
  <c r="W80" i="1"/>
  <c r="U80" i="1"/>
  <c r="AK79" i="1"/>
  <c r="AG79" i="1"/>
  <c r="AE79" i="1"/>
  <c r="AC79" i="1"/>
  <c r="AA79" i="1"/>
  <c r="Y79" i="1"/>
  <c r="W79" i="1"/>
  <c r="U79" i="1"/>
  <c r="AK78" i="1"/>
  <c r="AG78" i="1"/>
  <c r="AE78" i="1"/>
  <c r="AC78" i="1"/>
  <c r="AA78" i="1"/>
  <c r="Y78" i="1"/>
  <c r="W78" i="1"/>
  <c r="U78" i="1"/>
  <c r="AY77" i="1"/>
  <c r="AZ77" i="1" s="1"/>
  <c r="AK77" i="1"/>
  <c r="AG77" i="1"/>
  <c r="AE77" i="1"/>
  <c r="AC77" i="1"/>
  <c r="AA77" i="1"/>
  <c r="Y77" i="1"/>
  <c r="W77" i="1"/>
  <c r="U77" i="1"/>
  <c r="P77" i="1"/>
  <c r="Q77" i="1" s="1"/>
  <c r="M77" i="1"/>
  <c r="AK76" i="1"/>
  <c r="AG76" i="1"/>
  <c r="AE76" i="1"/>
  <c r="AC76" i="1"/>
  <c r="AA76" i="1"/>
  <c r="Y76" i="1"/>
  <c r="W76" i="1"/>
  <c r="U76" i="1"/>
  <c r="AK75" i="1"/>
  <c r="AG75" i="1"/>
  <c r="AE75" i="1"/>
  <c r="AC75" i="1"/>
  <c r="AA75" i="1"/>
  <c r="Y75" i="1"/>
  <c r="W75" i="1"/>
  <c r="U75" i="1"/>
  <c r="AK74" i="1"/>
  <c r="AG74" i="1"/>
  <c r="AE74" i="1"/>
  <c r="AC74" i="1"/>
  <c r="AA74" i="1"/>
  <c r="Y74" i="1"/>
  <c r="W74" i="1"/>
  <c r="U74" i="1"/>
  <c r="AK73" i="1"/>
  <c r="AG73" i="1"/>
  <c r="AE73" i="1"/>
  <c r="AC73" i="1"/>
  <c r="AA73" i="1"/>
  <c r="Y73" i="1"/>
  <c r="W73" i="1"/>
  <c r="U73" i="1"/>
  <c r="AK68" i="1"/>
  <c r="AG68" i="1"/>
  <c r="AE68" i="1"/>
  <c r="AC68" i="1"/>
  <c r="AA68" i="1"/>
  <c r="Y68" i="1"/>
  <c r="W68" i="1"/>
  <c r="U68" i="1"/>
  <c r="AK67" i="1"/>
  <c r="AG67" i="1"/>
  <c r="AE67" i="1"/>
  <c r="AC67" i="1"/>
  <c r="AA67" i="1"/>
  <c r="Y67" i="1"/>
  <c r="W67" i="1"/>
  <c r="U67" i="1"/>
  <c r="AK66" i="1"/>
  <c r="AG66" i="1"/>
  <c r="AE66" i="1"/>
  <c r="AC66" i="1"/>
  <c r="AA66" i="1"/>
  <c r="Y66" i="1"/>
  <c r="W66" i="1"/>
  <c r="U66" i="1"/>
  <c r="AY65" i="1"/>
  <c r="AZ65" i="1" s="1"/>
  <c r="AK65" i="1"/>
  <c r="AG65" i="1"/>
  <c r="AE65" i="1"/>
  <c r="AC65" i="1"/>
  <c r="AA65" i="1"/>
  <c r="Y65" i="1"/>
  <c r="W65" i="1"/>
  <c r="U65" i="1"/>
  <c r="P65" i="1"/>
  <c r="Q65" i="1" s="1"/>
  <c r="M65" i="1"/>
  <c r="AK64" i="1"/>
  <c r="AG64" i="1"/>
  <c r="AE64" i="1"/>
  <c r="AC64" i="1"/>
  <c r="AA64" i="1"/>
  <c r="Y64" i="1"/>
  <c r="W64" i="1"/>
  <c r="U64" i="1"/>
  <c r="AY61" i="1"/>
  <c r="AZ61" i="1" s="1"/>
  <c r="P61" i="1"/>
  <c r="Q61" i="1" s="1"/>
  <c r="M61" i="1"/>
  <c r="AK46" i="1"/>
  <c r="AG46" i="1"/>
  <c r="AE46" i="1"/>
  <c r="AC46" i="1"/>
  <c r="AA46" i="1"/>
  <c r="Y46" i="1"/>
  <c r="W46" i="1"/>
  <c r="U46" i="1"/>
  <c r="AK45" i="1"/>
  <c r="AG45" i="1"/>
  <c r="AE45" i="1"/>
  <c r="AC45" i="1"/>
  <c r="AA45" i="1"/>
  <c r="Y45" i="1"/>
  <c r="W45" i="1"/>
  <c r="U45" i="1"/>
  <c r="AK44" i="1"/>
  <c r="AG44" i="1"/>
  <c r="AE44" i="1"/>
  <c r="AC44" i="1"/>
  <c r="AA44" i="1"/>
  <c r="Y44" i="1"/>
  <c r="W44" i="1"/>
  <c r="U44" i="1"/>
  <c r="AY43" i="1"/>
  <c r="AZ43" i="1" s="1"/>
  <c r="AK43" i="1"/>
  <c r="AG43" i="1"/>
  <c r="AE43" i="1"/>
  <c r="AC43" i="1"/>
  <c r="AA43" i="1"/>
  <c r="Y43" i="1"/>
  <c r="W43" i="1"/>
  <c r="U43" i="1"/>
  <c r="P43" i="1"/>
  <c r="Q43" i="1" s="1"/>
  <c r="M43" i="1"/>
  <c r="AK42" i="1"/>
  <c r="AG42" i="1"/>
  <c r="AE42" i="1"/>
  <c r="AC42" i="1"/>
  <c r="AA42" i="1"/>
  <c r="Y42" i="1"/>
  <c r="W42" i="1"/>
  <c r="U42" i="1"/>
  <c r="AK41" i="1"/>
  <c r="AG41" i="1"/>
  <c r="AE41" i="1"/>
  <c r="AC41" i="1"/>
  <c r="AA41" i="1"/>
  <c r="Y41" i="1"/>
  <c r="W41" i="1"/>
  <c r="U41" i="1"/>
  <c r="AK40" i="1"/>
  <c r="AG40" i="1"/>
  <c r="AE40" i="1"/>
  <c r="AC40" i="1"/>
  <c r="AA40" i="1"/>
  <c r="Y40" i="1"/>
  <c r="W40" i="1"/>
  <c r="U40" i="1"/>
  <c r="AY39" i="1"/>
  <c r="AZ39" i="1" s="1"/>
  <c r="AK39" i="1"/>
  <c r="AG39" i="1"/>
  <c r="AE39" i="1"/>
  <c r="AC39" i="1"/>
  <c r="AA39" i="1"/>
  <c r="Y39" i="1"/>
  <c r="W39" i="1"/>
  <c r="U39" i="1"/>
  <c r="P39" i="1"/>
  <c r="Q39" i="1" s="1"/>
  <c r="M39" i="1"/>
  <c r="AK38" i="1"/>
  <c r="AG38" i="1"/>
  <c r="AE38" i="1"/>
  <c r="AC38" i="1"/>
  <c r="AA38" i="1"/>
  <c r="Y38" i="1"/>
  <c r="W38" i="1"/>
  <c r="U38" i="1"/>
  <c r="AK37" i="1"/>
  <c r="AG37" i="1"/>
  <c r="AE37" i="1"/>
  <c r="AC37" i="1"/>
  <c r="AA37" i="1"/>
  <c r="Y37" i="1"/>
  <c r="W37" i="1"/>
  <c r="U37" i="1"/>
  <c r="AK36" i="1"/>
  <c r="AG36" i="1"/>
  <c r="AE36" i="1"/>
  <c r="AC36" i="1"/>
  <c r="AA36" i="1"/>
  <c r="Y36" i="1"/>
  <c r="W36" i="1"/>
  <c r="U36" i="1"/>
  <c r="AY35" i="1"/>
  <c r="AZ35" i="1" s="1"/>
  <c r="AK35" i="1"/>
  <c r="AG35" i="1"/>
  <c r="AE35" i="1"/>
  <c r="AC35" i="1"/>
  <c r="AA35" i="1"/>
  <c r="Y35" i="1"/>
  <c r="W35" i="1"/>
  <c r="U35" i="1"/>
  <c r="P35" i="1"/>
  <c r="Q35" i="1" s="1"/>
  <c r="M35" i="1"/>
  <c r="AK34" i="1"/>
  <c r="AG34" i="1"/>
  <c r="AE34" i="1"/>
  <c r="AC34" i="1"/>
  <c r="AA34" i="1"/>
  <c r="Y34" i="1"/>
  <c r="W34" i="1"/>
  <c r="U34" i="1"/>
  <c r="AK33" i="1"/>
  <c r="AG33" i="1"/>
  <c r="AE33" i="1"/>
  <c r="AC33" i="1"/>
  <c r="AA33" i="1"/>
  <c r="Y33" i="1"/>
  <c r="W33" i="1"/>
  <c r="U33" i="1"/>
  <c r="AK32" i="1"/>
  <c r="AG32" i="1"/>
  <c r="AE32" i="1"/>
  <c r="AC32" i="1"/>
  <c r="AA32" i="1"/>
  <c r="Y32" i="1"/>
  <c r="W32" i="1"/>
  <c r="U32" i="1"/>
  <c r="AY31" i="1"/>
  <c r="AZ31" i="1" s="1"/>
  <c r="AK31" i="1"/>
  <c r="AG31" i="1"/>
  <c r="AE31" i="1"/>
  <c r="AC31" i="1"/>
  <c r="AA31" i="1"/>
  <c r="Y31" i="1"/>
  <c r="W31" i="1"/>
  <c r="U31" i="1"/>
  <c r="P31" i="1"/>
  <c r="Q31" i="1" s="1"/>
  <c r="M31" i="1"/>
  <c r="AH40" i="1" l="1"/>
  <c r="AI40" i="1" s="1"/>
  <c r="AL40" i="1" s="1"/>
  <c r="AO40" i="1" s="1"/>
  <c r="AH42" i="1"/>
  <c r="AI42" i="1" s="1"/>
  <c r="AL42" i="1" s="1"/>
  <c r="AM42" i="1" s="1"/>
  <c r="AN42" i="1" s="1"/>
  <c r="AH65" i="1"/>
  <c r="AI65" i="1" s="1"/>
  <c r="AL65" i="1" s="1"/>
  <c r="AH81" i="1"/>
  <c r="AI81" i="1" s="1"/>
  <c r="AL81" i="1" s="1"/>
  <c r="AO81" i="1" s="1"/>
  <c r="AH73" i="1"/>
  <c r="AI73" i="1" s="1"/>
  <c r="AL73" i="1" s="1"/>
  <c r="AO73" i="1" s="1"/>
  <c r="AH33" i="1"/>
  <c r="AI33" i="1" s="1"/>
  <c r="AL33" i="1" s="1"/>
  <c r="AM33" i="1" s="1"/>
  <c r="AN33" i="1" s="1"/>
  <c r="AH37" i="1"/>
  <c r="AI37" i="1" s="1"/>
  <c r="AL37" i="1" s="1"/>
  <c r="AH45" i="1"/>
  <c r="AI45" i="1" s="1"/>
  <c r="AL45" i="1" s="1"/>
  <c r="AO45" i="1" s="1"/>
  <c r="AH36" i="1"/>
  <c r="AI36" i="1" s="1"/>
  <c r="AL36" i="1" s="1"/>
  <c r="AM36" i="1" s="1"/>
  <c r="AN36" i="1" s="1"/>
  <c r="AH41" i="1"/>
  <c r="AI41" i="1" s="1"/>
  <c r="AL41" i="1" s="1"/>
  <c r="AM41" i="1" s="1"/>
  <c r="AN41" i="1" s="1"/>
  <c r="AH64" i="1"/>
  <c r="AI64" i="1" s="1"/>
  <c r="AL64" i="1" s="1"/>
  <c r="AM64" i="1" s="1"/>
  <c r="AN64" i="1" s="1"/>
  <c r="AH67" i="1"/>
  <c r="AI67" i="1" s="1"/>
  <c r="AL67" i="1" s="1"/>
  <c r="AM67" i="1" s="1"/>
  <c r="AN67" i="1" s="1"/>
  <c r="AH68" i="1"/>
  <c r="AI68" i="1" s="1"/>
  <c r="AL68" i="1" s="1"/>
  <c r="AO68" i="1" s="1"/>
  <c r="AH74" i="1"/>
  <c r="AI74" i="1" s="1"/>
  <c r="AL74" i="1" s="1"/>
  <c r="AM74" i="1" s="1"/>
  <c r="AN74" i="1" s="1"/>
  <c r="AH75" i="1"/>
  <c r="AI75" i="1" s="1"/>
  <c r="AL75" i="1" s="1"/>
  <c r="AM75" i="1" s="1"/>
  <c r="AN75" i="1" s="1"/>
  <c r="AH76" i="1"/>
  <c r="AI76" i="1" s="1"/>
  <c r="AL76" i="1" s="1"/>
  <c r="AO76" i="1" s="1"/>
  <c r="AH77" i="1"/>
  <c r="AI77" i="1" s="1"/>
  <c r="AL77" i="1" s="1"/>
  <c r="AM77" i="1" s="1"/>
  <c r="AN77" i="1" s="1"/>
  <c r="AH78" i="1"/>
  <c r="AI78" i="1" s="1"/>
  <c r="AL78" i="1" s="1"/>
  <c r="AM78" i="1" s="1"/>
  <c r="AN78" i="1" s="1"/>
  <c r="AH79" i="1"/>
  <c r="AI79" i="1" s="1"/>
  <c r="AL79" i="1" s="1"/>
  <c r="AO79" i="1" s="1"/>
  <c r="AH80" i="1"/>
  <c r="AI80" i="1" s="1"/>
  <c r="AL80" i="1" s="1"/>
  <c r="AM80" i="1" s="1"/>
  <c r="AN80" i="1" s="1"/>
  <c r="AH82" i="1"/>
  <c r="AI82" i="1" s="1"/>
  <c r="AL82" i="1" s="1"/>
  <c r="AO82" i="1" s="1"/>
  <c r="AH83" i="1"/>
  <c r="AI83" i="1" s="1"/>
  <c r="AL83" i="1" s="1"/>
  <c r="AM83" i="1" s="1"/>
  <c r="AN83" i="1" s="1"/>
  <c r="AH84" i="1"/>
  <c r="AI84" i="1" s="1"/>
  <c r="AL84" i="1" s="1"/>
  <c r="AO84" i="1" s="1"/>
  <c r="AH35" i="1"/>
  <c r="AI35" i="1" s="1"/>
  <c r="AL35" i="1" s="1"/>
  <c r="AM35" i="1" s="1"/>
  <c r="AN35" i="1" s="1"/>
  <c r="AH31" i="1"/>
  <c r="AI31" i="1" s="1"/>
  <c r="AL31" i="1" s="1"/>
  <c r="AO31" i="1" s="1"/>
  <c r="AH32" i="1"/>
  <c r="AI32" i="1" s="1"/>
  <c r="AL32" i="1" s="1"/>
  <c r="AO32" i="1" s="1"/>
  <c r="AH34" i="1"/>
  <c r="AI34" i="1" s="1"/>
  <c r="AL34" i="1" s="1"/>
  <c r="AO34" i="1" s="1"/>
  <c r="AH38" i="1"/>
  <c r="AI38" i="1" s="1"/>
  <c r="AL38" i="1" s="1"/>
  <c r="AO38" i="1" s="1"/>
  <c r="AH43" i="1"/>
  <c r="AI43" i="1" s="1"/>
  <c r="AL43" i="1" s="1"/>
  <c r="AM43" i="1" s="1"/>
  <c r="AN43" i="1" s="1"/>
  <c r="AH44" i="1"/>
  <c r="AI44" i="1" s="1"/>
  <c r="AL44" i="1" s="1"/>
  <c r="AM44" i="1" s="1"/>
  <c r="AN44" i="1" s="1"/>
  <c r="AH46" i="1"/>
  <c r="AI46" i="1" s="1"/>
  <c r="AL46" i="1" s="1"/>
  <c r="AM46" i="1" s="1"/>
  <c r="AN46" i="1" s="1"/>
  <c r="AH66" i="1"/>
  <c r="AI66" i="1" s="1"/>
  <c r="AL66" i="1" s="1"/>
  <c r="AM66" i="1" s="1"/>
  <c r="AN66" i="1" s="1"/>
  <c r="AH39" i="1"/>
  <c r="AI39" i="1" s="1"/>
  <c r="AL39" i="1" s="1"/>
  <c r="AM39" i="1" s="1"/>
  <c r="AN39" i="1" s="1"/>
  <c r="AO74" i="1"/>
  <c r="AO75" i="1"/>
  <c r="AO78" i="1"/>
  <c r="AM84" i="1"/>
  <c r="AN84" i="1" s="1"/>
  <c r="AO65" i="1"/>
  <c r="AM65" i="1"/>
  <c r="AN65" i="1" s="1"/>
  <c r="AM40" i="1"/>
  <c r="AN40" i="1" s="1"/>
  <c r="AO42" i="1"/>
  <c r="AM37" i="1"/>
  <c r="AN37" i="1" s="1"/>
  <c r="AO37" i="1"/>
  <c r="AM34" i="1"/>
  <c r="AN34" i="1" s="1"/>
  <c r="AO33" i="1"/>
  <c r="AO66" i="1" l="1"/>
  <c r="AO83" i="1"/>
  <c r="AO41" i="1"/>
  <c r="AM31" i="1"/>
  <c r="AN31" i="1" s="1"/>
  <c r="AM81" i="1"/>
  <c r="AN81" i="1" s="1"/>
  <c r="AM45" i="1"/>
  <c r="AN45" i="1" s="1"/>
  <c r="AP43" i="1" s="1"/>
  <c r="AQ43" i="1" s="1"/>
  <c r="AT43" i="1" s="1"/>
  <c r="AO67" i="1"/>
  <c r="AM38" i="1"/>
  <c r="AN38" i="1" s="1"/>
  <c r="AP35" i="1" s="1"/>
  <c r="AQ35" i="1" s="1"/>
  <c r="AT35" i="1" s="1"/>
  <c r="AV35" i="1" s="1"/>
  <c r="AO80" i="1"/>
  <c r="AM76" i="1"/>
  <c r="AN76" i="1" s="1"/>
  <c r="AO39" i="1"/>
  <c r="AM73" i="1"/>
  <c r="AN73" i="1" s="1"/>
  <c r="AO43" i="1"/>
  <c r="AO46" i="1"/>
  <c r="AO64" i="1"/>
  <c r="AM79" i="1"/>
  <c r="AN79" i="1" s="1"/>
  <c r="AP77" i="1" s="1"/>
  <c r="AQ77" i="1" s="1"/>
  <c r="AT77" i="1" s="1"/>
  <c r="AM82" i="1"/>
  <c r="AN82" i="1" s="1"/>
  <c r="AP81" i="1" s="1"/>
  <c r="AQ81" i="1" s="1"/>
  <c r="AT81" i="1" s="1"/>
  <c r="AO44" i="1"/>
  <c r="AM68" i="1"/>
  <c r="AN68" i="1" s="1"/>
  <c r="AP65" i="1" s="1"/>
  <c r="AQ65" i="1" s="1"/>
  <c r="AT65" i="1" s="1"/>
  <c r="AM32" i="1"/>
  <c r="AN32" i="1" s="1"/>
  <c r="AP31" i="1" s="1"/>
  <c r="AQ31" i="1" s="1"/>
  <c r="AT31" i="1" s="1"/>
  <c r="AO77" i="1"/>
  <c r="AP61" i="1"/>
  <c r="AQ61" i="1" s="1"/>
  <c r="AT61" i="1" s="1"/>
  <c r="AP39" i="1"/>
  <c r="AQ39" i="1" s="1"/>
  <c r="AT39" i="1" s="1"/>
  <c r="AP73" i="1" l="1"/>
  <c r="AQ73" i="1" s="1"/>
  <c r="AT73" i="1" s="1"/>
  <c r="AV73" i="1" s="1"/>
  <c r="AV81" i="1"/>
  <c r="AU81" i="1"/>
  <c r="AU35" i="1"/>
  <c r="AU77" i="1"/>
  <c r="AV77" i="1"/>
  <c r="AV65" i="1"/>
  <c r="AU65" i="1"/>
  <c r="AV61" i="1"/>
  <c r="AU61" i="1"/>
  <c r="AV43" i="1"/>
  <c r="AU43" i="1"/>
  <c r="AV39" i="1"/>
  <c r="AU39" i="1"/>
  <c r="AU31" i="1"/>
  <c r="AV31" i="1"/>
  <c r="AU73" i="1" l="1"/>
  <c r="AK30" i="1"/>
  <c r="AG30" i="1"/>
  <c r="AE30" i="1"/>
  <c r="AC30" i="1"/>
  <c r="AA30" i="1"/>
  <c r="Y30" i="1"/>
  <c r="W30" i="1"/>
  <c r="U30" i="1"/>
  <c r="AK29" i="1"/>
  <c r="AG29" i="1"/>
  <c r="AE29" i="1"/>
  <c r="AC29" i="1"/>
  <c r="AA29" i="1"/>
  <c r="Y29" i="1"/>
  <c r="W29" i="1"/>
  <c r="U29" i="1"/>
  <c r="AK28" i="1"/>
  <c r="AG28" i="1"/>
  <c r="AE28" i="1"/>
  <c r="AC28" i="1"/>
  <c r="AA28" i="1"/>
  <c r="Y28" i="1"/>
  <c r="W28" i="1"/>
  <c r="U28" i="1"/>
  <c r="AY27" i="1"/>
  <c r="AZ27" i="1" s="1"/>
  <c r="AK27" i="1"/>
  <c r="AG27" i="1"/>
  <c r="AE27" i="1"/>
  <c r="AC27" i="1"/>
  <c r="AA27" i="1"/>
  <c r="Y27" i="1"/>
  <c r="W27" i="1"/>
  <c r="U27" i="1"/>
  <c r="P27" i="1"/>
  <c r="Q27" i="1" s="1"/>
  <c r="M27" i="1"/>
  <c r="AK26" i="1"/>
  <c r="AG26" i="1"/>
  <c r="AE26" i="1"/>
  <c r="AC26" i="1"/>
  <c r="AA26" i="1"/>
  <c r="Y26" i="1"/>
  <c r="W26" i="1"/>
  <c r="U26" i="1"/>
  <c r="AK25" i="1"/>
  <c r="AG25" i="1"/>
  <c r="AE25" i="1"/>
  <c r="AC25" i="1"/>
  <c r="AA25" i="1"/>
  <c r="Y25" i="1"/>
  <c r="W25" i="1"/>
  <c r="U25" i="1"/>
  <c r="AK24" i="1"/>
  <c r="AG24" i="1"/>
  <c r="AE24" i="1"/>
  <c r="AC24" i="1"/>
  <c r="AA24" i="1"/>
  <c r="Y24" i="1"/>
  <c r="W24" i="1"/>
  <c r="U24" i="1"/>
  <c r="AY23" i="1"/>
  <c r="AZ23" i="1" s="1"/>
  <c r="AK23" i="1"/>
  <c r="AG23" i="1"/>
  <c r="AE23" i="1"/>
  <c r="AC23" i="1"/>
  <c r="AA23" i="1"/>
  <c r="Y23" i="1"/>
  <c r="W23" i="1"/>
  <c r="U23" i="1"/>
  <c r="P23" i="1"/>
  <c r="Q23" i="1" s="1"/>
  <c r="M23" i="1"/>
  <c r="AK22" i="1"/>
  <c r="AG22" i="1"/>
  <c r="AE22" i="1"/>
  <c r="AC22" i="1"/>
  <c r="AA22" i="1"/>
  <c r="Y22" i="1"/>
  <c r="W22" i="1"/>
  <c r="U22" i="1"/>
  <c r="AK21" i="1"/>
  <c r="AG21" i="1"/>
  <c r="AE21" i="1"/>
  <c r="AC21" i="1"/>
  <c r="AA21" i="1"/>
  <c r="Y21" i="1"/>
  <c r="W21" i="1"/>
  <c r="U21" i="1"/>
  <c r="AK20" i="1"/>
  <c r="AG20" i="1"/>
  <c r="AE20" i="1"/>
  <c r="AC20" i="1"/>
  <c r="AA20" i="1"/>
  <c r="Y20" i="1"/>
  <c r="W20" i="1"/>
  <c r="U20" i="1"/>
  <c r="AY19" i="1"/>
  <c r="AZ19" i="1" s="1"/>
  <c r="AK19" i="1"/>
  <c r="AG19" i="1"/>
  <c r="AE19" i="1"/>
  <c r="AC19" i="1"/>
  <c r="AA19" i="1"/>
  <c r="Y19" i="1"/>
  <c r="W19" i="1"/>
  <c r="U19" i="1"/>
  <c r="P19" i="1"/>
  <c r="Q19" i="1" s="1"/>
  <c r="M19" i="1"/>
  <c r="AK18" i="1"/>
  <c r="AG18" i="1"/>
  <c r="AE18" i="1"/>
  <c r="AC18" i="1"/>
  <c r="AA18" i="1"/>
  <c r="Y18" i="1"/>
  <c r="W18" i="1"/>
  <c r="U18" i="1"/>
  <c r="AK17" i="1"/>
  <c r="AG17" i="1"/>
  <c r="AE17" i="1"/>
  <c r="AC17" i="1"/>
  <c r="AA17" i="1"/>
  <c r="Y17" i="1"/>
  <c r="W17" i="1"/>
  <c r="U17" i="1"/>
  <c r="AK16" i="1"/>
  <c r="AG16" i="1"/>
  <c r="AE16" i="1"/>
  <c r="AC16" i="1"/>
  <c r="AA16" i="1"/>
  <c r="Y16" i="1"/>
  <c r="W16" i="1"/>
  <c r="U16" i="1"/>
  <c r="AY15" i="1"/>
  <c r="AZ15" i="1" s="1"/>
  <c r="AK15" i="1"/>
  <c r="AG15" i="1"/>
  <c r="AE15" i="1"/>
  <c r="AC15" i="1"/>
  <c r="AA15" i="1"/>
  <c r="Y15" i="1"/>
  <c r="W15" i="1"/>
  <c r="U15" i="1"/>
  <c r="P15" i="1"/>
  <c r="Q15" i="1" s="1"/>
  <c r="M15" i="1"/>
  <c r="AK14" i="1"/>
  <c r="AG14" i="1"/>
  <c r="AE14" i="1"/>
  <c r="AC14" i="1"/>
  <c r="AA14" i="1"/>
  <c r="Y14" i="1"/>
  <c r="W14" i="1"/>
  <c r="U14" i="1"/>
  <c r="AK13" i="1"/>
  <c r="AG13" i="1"/>
  <c r="AE13" i="1"/>
  <c r="AC13" i="1"/>
  <c r="AA13" i="1"/>
  <c r="Y13" i="1"/>
  <c r="W13" i="1"/>
  <c r="U13" i="1"/>
  <c r="AK12" i="1"/>
  <c r="AG12" i="1"/>
  <c r="AE12" i="1"/>
  <c r="AC12" i="1"/>
  <c r="AA12" i="1"/>
  <c r="Y12" i="1"/>
  <c r="W12" i="1"/>
  <c r="U12" i="1"/>
  <c r="AY11" i="1"/>
  <c r="AZ11" i="1" s="1"/>
  <c r="AK11" i="1"/>
  <c r="AG11" i="1"/>
  <c r="AE11" i="1"/>
  <c r="AC11" i="1"/>
  <c r="AA11" i="1"/>
  <c r="Y11" i="1"/>
  <c r="W11" i="1"/>
  <c r="U11" i="1"/>
  <c r="P11" i="1"/>
  <c r="Q11" i="1" s="1"/>
  <c r="M11" i="1"/>
  <c r="AH21" i="1" l="1"/>
  <c r="AI21" i="1" s="1"/>
  <c r="AL21" i="1" s="1"/>
  <c r="AM21" i="1" s="1"/>
  <c r="AN21" i="1" s="1"/>
  <c r="AH23" i="1"/>
  <c r="AI23" i="1" s="1"/>
  <c r="AL23" i="1" s="1"/>
  <c r="AH24" i="1"/>
  <c r="AI24" i="1" s="1"/>
  <c r="AL24" i="1" s="1"/>
  <c r="AM24" i="1" s="1"/>
  <c r="AN24" i="1" s="1"/>
  <c r="AH26" i="1"/>
  <c r="AI26" i="1" s="1"/>
  <c r="AL26" i="1" s="1"/>
  <c r="AH27" i="1"/>
  <c r="AI27" i="1" s="1"/>
  <c r="AL27" i="1" s="1"/>
  <c r="AM27" i="1" s="1"/>
  <c r="AN27" i="1" s="1"/>
  <c r="AH15" i="1"/>
  <c r="AI15" i="1" s="1"/>
  <c r="AL15" i="1" s="1"/>
  <c r="AH19" i="1"/>
  <c r="AI19" i="1" s="1"/>
  <c r="AL19" i="1" s="1"/>
  <c r="AH20" i="1"/>
  <c r="AI20" i="1" s="1"/>
  <c r="AL20" i="1" s="1"/>
  <c r="AH22" i="1"/>
  <c r="AI22" i="1" s="1"/>
  <c r="AL22" i="1" s="1"/>
  <c r="AO22" i="1" s="1"/>
  <c r="AH25" i="1"/>
  <c r="AI25" i="1" s="1"/>
  <c r="AL25" i="1" s="1"/>
  <c r="AO25" i="1" s="1"/>
  <c r="AH28" i="1"/>
  <c r="AI28" i="1" s="1"/>
  <c r="AL28" i="1" s="1"/>
  <c r="AH29" i="1"/>
  <c r="AI29" i="1" s="1"/>
  <c r="AL29" i="1" s="1"/>
  <c r="AO29" i="1" s="1"/>
  <c r="AH30" i="1"/>
  <c r="AI30" i="1" s="1"/>
  <c r="AL30" i="1" s="1"/>
  <c r="AM30" i="1" s="1"/>
  <c r="AN30" i="1" s="1"/>
  <c r="AH11" i="1"/>
  <c r="AI11" i="1" s="1"/>
  <c r="AL11" i="1" s="1"/>
  <c r="AH12" i="1"/>
  <c r="AI12" i="1" s="1"/>
  <c r="AL12" i="1" s="1"/>
  <c r="AH13" i="1"/>
  <c r="AI13" i="1" s="1"/>
  <c r="AL13" i="1" s="1"/>
  <c r="AH14" i="1"/>
  <c r="AI14" i="1" s="1"/>
  <c r="AL14" i="1" s="1"/>
  <c r="AO14" i="1" s="1"/>
  <c r="AH16" i="1"/>
  <c r="AI16" i="1" s="1"/>
  <c r="AL16" i="1" s="1"/>
  <c r="AO16" i="1" s="1"/>
  <c r="AH17" i="1"/>
  <c r="AI17" i="1" s="1"/>
  <c r="AL17" i="1" s="1"/>
  <c r="AH18" i="1"/>
  <c r="AI18" i="1" s="1"/>
  <c r="AL18" i="1" s="1"/>
  <c r="AO30" i="1"/>
  <c r="AO28" i="1"/>
  <c r="AM28" i="1"/>
  <c r="AN28" i="1" s="1"/>
  <c r="AM29" i="1"/>
  <c r="AN29" i="1" s="1"/>
  <c r="AO27" i="1"/>
  <c r="AM25" i="1"/>
  <c r="AN25" i="1" s="1"/>
  <c r="AO23" i="1"/>
  <c r="AM23" i="1"/>
  <c r="AN23" i="1" s="1"/>
  <c r="AO24" i="1"/>
  <c r="AO26" i="1"/>
  <c r="AM26" i="1"/>
  <c r="AN26" i="1" s="1"/>
  <c r="AO21" i="1"/>
  <c r="AM19" i="1"/>
  <c r="AN19" i="1" s="1"/>
  <c r="AO19" i="1"/>
  <c r="AM20" i="1"/>
  <c r="AN20" i="1" s="1"/>
  <c r="AO20" i="1"/>
  <c r="AO15" i="1"/>
  <c r="AM15" i="1"/>
  <c r="AN15" i="1" s="1"/>
  <c r="AM16" i="1"/>
  <c r="AN16" i="1" s="1"/>
  <c r="AM17" i="1"/>
  <c r="AN17" i="1" s="1"/>
  <c r="AO17" i="1"/>
  <c r="AO18" i="1"/>
  <c r="AM18" i="1"/>
  <c r="AN18" i="1" s="1"/>
  <c r="AM11" i="1"/>
  <c r="AN11" i="1" s="1"/>
  <c r="AO11" i="1"/>
  <c r="AO12" i="1"/>
  <c r="AM12" i="1"/>
  <c r="AN12" i="1" s="1"/>
  <c r="AM13" i="1"/>
  <c r="AN13" i="1" s="1"/>
  <c r="AO13" i="1"/>
  <c r="AM14" i="1"/>
  <c r="AN14" i="1" s="1"/>
  <c r="AM22" i="1" l="1"/>
  <c r="AN22" i="1" s="1"/>
  <c r="AP19" i="1" s="1"/>
  <c r="AQ19" i="1" s="1"/>
  <c r="AT19" i="1" s="1"/>
  <c r="AP23" i="1"/>
  <c r="AQ23" i="1" s="1"/>
  <c r="AT23" i="1" s="1"/>
  <c r="AV23" i="1" s="1"/>
  <c r="AP15" i="1"/>
  <c r="AQ15" i="1" s="1"/>
  <c r="AT15" i="1" s="1"/>
  <c r="AV15" i="1" s="1"/>
  <c r="AP27" i="1"/>
  <c r="AQ27" i="1" s="1"/>
  <c r="AT27" i="1" s="1"/>
  <c r="AP11" i="1"/>
  <c r="AQ11" i="1" s="1"/>
  <c r="AT11" i="1" s="1"/>
  <c r="AU23" i="1" l="1"/>
  <c r="AU15" i="1"/>
  <c r="AV27" i="1"/>
  <c r="AU27" i="1"/>
  <c r="AV19" i="1"/>
  <c r="AU19" i="1"/>
  <c r="AV11" i="1"/>
  <c r="AU11" i="1"/>
  <c r="E24" i="18" l="1"/>
  <c r="C21" i="12" l="1"/>
  <c r="C20" i="12"/>
  <c r="C19" i="12"/>
  <c r="C18" i="12"/>
  <c r="C17" i="12"/>
  <c r="C16" i="12"/>
  <c r="C15" i="12"/>
  <c r="C14" i="12"/>
  <c r="C13" i="12"/>
  <c r="C12" i="12"/>
  <c r="I21" i="12"/>
  <c r="I20" i="12"/>
  <c r="I19" i="12"/>
  <c r="I18" i="12"/>
  <c r="I17" i="12"/>
  <c r="I16" i="12"/>
  <c r="I15" i="12"/>
  <c r="I14" i="12"/>
  <c r="I13" i="12"/>
  <c r="I12" i="12"/>
  <c r="B95" i="11" l="1"/>
  <c r="B96" i="11"/>
  <c r="B97" i="11"/>
  <c r="B98" i="11"/>
  <c r="B99" i="11"/>
  <c r="B100" i="11"/>
  <c r="B101" i="11"/>
  <c r="B94" i="11"/>
  <c r="B76" i="11" l="1"/>
  <c r="B77" i="11"/>
  <c r="B75" i="11"/>
  <c r="B73" i="11"/>
  <c r="B74" i="11"/>
  <c r="B72" i="11"/>
  <c r="B70" i="11"/>
  <c r="B71" i="11"/>
  <c r="B69" i="11"/>
  <c r="B58" i="11"/>
  <c r="B59" i="11"/>
  <c r="B60" i="11"/>
  <c r="B61" i="11"/>
  <c r="B57" i="11"/>
  <c r="B53" i="11"/>
  <c r="B54" i="11"/>
  <c r="B55" i="11"/>
  <c r="B56" i="11"/>
  <c r="B52" i="11"/>
  <c r="B48" i="11"/>
  <c r="B49" i="11"/>
  <c r="B50" i="11"/>
  <c r="B51" i="11"/>
  <c r="B47" i="11"/>
  <c r="B43" i="11"/>
  <c r="B44" i="11"/>
  <c r="B45" i="11"/>
  <c r="B46" i="11"/>
  <c r="B42" i="11"/>
  <c r="B38" i="11"/>
  <c r="B39" i="11"/>
  <c r="B40" i="11"/>
  <c r="B41" i="11"/>
  <c r="B3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Martha Patricia  Aguilar Copete</author>
    <author>Christian Medina Fandiño</author>
    <author>Andrea del Pilar Zambrano Barrios</author>
  </authors>
  <commentList>
    <comment ref="BC24" authorId="0" shapeId="0" xr:uid="{587CC0D5-244E-4375-A1A0-BB3932F7325E}">
      <text>
        <r>
          <rPr>
            <b/>
            <sz val="9"/>
            <color indexed="81"/>
            <rFont val="Tahoma"/>
            <family val="2"/>
          </rPr>
          <t>Martha Patricia  Aguilar Copete:</t>
        </r>
        <r>
          <rPr>
            <sz val="9"/>
            <color indexed="81"/>
            <rFont val="Tahoma"/>
            <family val="2"/>
          </rPr>
          <t xml:space="preserve">
Ajustar la letra en minúscula</t>
        </r>
      </text>
    </comment>
    <comment ref="R47" authorId="1" shapeId="0" xr:uid="{193FB2C7-19D7-4DDC-BF42-999CBD34F85F}">
      <text>
        <r>
          <rPr>
            <b/>
            <sz val="9"/>
            <color indexed="81"/>
            <rFont val="Tahoma"/>
            <family val="2"/>
          </rPr>
          <t>Christian Medina Fandiño:</t>
        </r>
        <r>
          <rPr>
            <sz val="9"/>
            <color indexed="81"/>
            <rFont val="Tahoma"/>
            <family val="2"/>
          </rPr>
          <t xml:space="preserve">
El control es insuficiente, no cuenta con los 6 elementos que requiere la formulación de controles: 1. responsable 
2.periodicidad.
3. propósito del control.
4. cómo s realiza la actividad de  control. 
5. que pasa con las observaciones o desviaciones identificadas después de ejecutar el control.
6. debe dejar evidencia de la ejecución del control.</t>
        </r>
      </text>
    </comment>
    <comment ref="T47" authorId="1" shapeId="0" xr:uid="{40B268ED-F0DB-45DD-989D-BDCD73EC008B}">
      <text>
        <r>
          <rPr>
            <b/>
            <sz val="9"/>
            <color indexed="81"/>
            <rFont val="Tahoma"/>
            <family val="2"/>
          </rPr>
          <t>Christian Medina Fandiño:</t>
        </r>
        <r>
          <rPr>
            <sz val="9"/>
            <color indexed="81"/>
            <rFont val="Tahoma"/>
            <family val="2"/>
          </rPr>
          <t xml:space="preserve">
no se detalla en la descripción del control</t>
        </r>
      </text>
    </comment>
    <comment ref="AF47" authorId="1" shapeId="0" xr:uid="{8F5140F5-202E-4765-A0FC-D1EAF53EB1AD}">
      <text>
        <r>
          <rPr>
            <b/>
            <sz val="9"/>
            <color indexed="81"/>
            <rFont val="Tahoma"/>
            <family val="2"/>
          </rPr>
          <t>Christian Medina Fandiño:</t>
        </r>
        <r>
          <rPr>
            <sz val="9"/>
            <color indexed="81"/>
            <rFont val="Tahoma"/>
            <family val="2"/>
          </rPr>
          <t xml:space="preserve">
Recuerda que debe haber evidencia de todo el proceso, la descripción del control no deja ver que haya evidencia de que el control es fuerte, sus fuentes son confiables, si se de ha evidencia del control.</t>
        </r>
      </text>
    </comment>
    <comment ref="AX47" authorId="1" shapeId="0" xr:uid="{2A3EF764-6D16-4CF4-A9CB-D8E758B4DF59}">
      <text>
        <r>
          <rPr>
            <b/>
            <sz val="9"/>
            <color indexed="81"/>
            <rFont val="Tahoma"/>
            <family val="2"/>
          </rPr>
          <t>Christian Medina Fandiño:</t>
        </r>
        <r>
          <rPr>
            <sz val="9"/>
            <color indexed="81"/>
            <rFont val="Tahoma"/>
            <family val="2"/>
          </rPr>
          <t xml:space="preserve">
Lo mismo que te pone Andrea, el control es flojo en su planteamiento y no se sostiene que es super efectivo para reducir el riesgo.</t>
        </r>
      </text>
    </comment>
    <comment ref="R48" authorId="1" shapeId="0" xr:uid="{927D86C5-A441-4721-8914-755DEB7F40F8}">
      <text>
        <r>
          <rPr>
            <b/>
            <sz val="9"/>
            <color indexed="81"/>
            <rFont val="Tahoma"/>
            <family val="2"/>
          </rPr>
          <t>Christian Medina Fandiño:</t>
        </r>
        <r>
          <rPr>
            <sz val="9"/>
            <color indexed="81"/>
            <rFont val="Tahoma"/>
            <family val="2"/>
          </rPr>
          <t xml:space="preserve">
lo mismo que el control anterior</t>
        </r>
      </text>
    </comment>
    <comment ref="T48" authorId="1" shapeId="0" xr:uid="{D1D2F2B6-BA2B-43AB-86C2-AE184C1D83AF}">
      <text>
        <r>
          <rPr>
            <b/>
            <sz val="9"/>
            <color indexed="81"/>
            <rFont val="Tahoma"/>
            <family val="2"/>
          </rPr>
          <t>Christian Medina Fandiño:</t>
        </r>
        <r>
          <rPr>
            <sz val="9"/>
            <color indexed="81"/>
            <rFont val="Tahoma"/>
            <family val="2"/>
          </rPr>
          <t xml:space="preserve">
no se detalla en la descripción del control</t>
        </r>
      </text>
    </comment>
    <comment ref="AF48" authorId="1" shapeId="0" xr:uid="{358B3C88-C2B2-4BB4-82CF-3AC9082596F2}">
      <text>
        <r>
          <rPr>
            <b/>
            <sz val="9"/>
            <color indexed="81"/>
            <rFont val="Tahoma"/>
            <family val="2"/>
          </rPr>
          <t>Christian Medina Fandiño:</t>
        </r>
        <r>
          <rPr>
            <sz val="9"/>
            <color indexed="81"/>
            <rFont val="Tahoma"/>
            <family val="2"/>
          </rPr>
          <t xml:space="preserve">
Recuerda que debe haber evidencia de todo el proceso, la descripción del control no deja ver que haya evidencia de que el control es fuerte, sus fuentes son confiables, si se de ha evidencia del control.</t>
        </r>
      </text>
    </comment>
    <comment ref="BB48" authorId="1" shapeId="0" xr:uid="{07F7AF2B-3F79-4864-8FD0-315313556A00}">
      <text>
        <r>
          <rPr>
            <b/>
            <sz val="9"/>
            <color indexed="81"/>
            <rFont val="Tahoma"/>
            <family val="2"/>
          </rPr>
          <t>Christian Medina Fandiño:</t>
        </r>
        <r>
          <rPr>
            <sz val="9"/>
            <color indexed="81"/>
            <rFont val="Tahoma"/>
            <family val="2"/>
          </rPr>
          <t xml:space="preserve">
son insuficientes estas actividades, debería haber un monitoreo de la normatividad actualizada, participar en las actividades de capacitación del MINTIC y de la alta consejería de TICs</t>
        </r>
      </text>
    </comment>
    <comment ref="BD81" authorId="2" shapeId="0" xr:uid="{001A586B-AC31-4306-BCF2-BE4472A617B9}">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BG81" authorId="2" shapeId="0" xr:uid="{20E2BDEE-CE1D-4EA4-AF43-92994B183E1B}">
      <text>
        <r>
          <rPr>
            <b/>
            <sz val="9"/>
            <color rgb="FF000000"/>
            <rFont val="Tahoma"/>
            <family val="2"/>
          </rPr>
          <t>Andrea del Pilar Zambrano Barrios:</t>
        </r>
        <r>
          <rPr>
            <sz val="9"/>
            <color rgb="FF000000"/>
            <rFont val="Tahoma"/>
            <family val="2"/>
          </rPr>
          <t xml:space="preserve">
</t>
        </r>
        <r>
          <rPr>
            <sz val="9"/>
            <color rgb="FF000000"/>
            <rFont val="Tahoma"/>
            <family val="2"/>
          </rPr>
          <t xml:space="preserve">Por que no Aplica? Debemos tener una acción para cuando el riesgos se matrializa asi sea comenzar de nuevo un contrato, una poliza o lo que se considere. </t>
        </r>
      </text>
    </comment>
    <comment ref="BD82" authorId="2" shapeId="0" xr:uid="{E60A635D-7C19-4588-977B-EAB0D81514A7}">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BD83" authorId="2" shapeId="0" xr:uid="{0D0700BE-D48B-40B7-AE24-9B17E5367CA7}">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K85" authorId="2" shapeId="0" xr:uid="{718849B4-7E90-414A-99BA-158C64ED71E0}">
      <text>
        <r>
          <rPr>
            <b/>
            <sz val="9"/>
            <color rgb="FF000000"/>
            <rFont val="Tahoma"/>
            <family val="2"/>
          </rPr>
          <t xml:space="preserve">Andrea del Pilar Zambrano Barrios:
</t>
        </r>
        <r>
          <rPr>
            <b/>
            <sz val="9"/>
            <color rgb="FF000000"/>
            <rFont val="Tahoma"/>
            <family val="2"/>
          </rPr>
          <t xml:space="preserve">
</t>
        </r>
        <r>
          <rPr>
            <sz val="9"/>
            <color rgb="FF000000"/>
            <rFont val="Tahoma"/>
            <family val="2"/>
          </rPr>
          <t xml:space="preserve">Que estudios tecnicos? Especificar.. </t>
        </r>
      </text>
    </comment>
    <comment ref="BD85" authorId="2" shapeId="0" xr:uid="{5917F76D-0721-424F-8D1A-2D3D4F581D34}">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BG85" authorId="2" shapeId="0" xr:uid="{B0E9C77F-F2EF-4092-BA7A-9B1674A01B72}">
      <text>
        <r>
          <rPr>
            <b/>
            <sz val="9"/>
            <color indexed="81"/>
            <rFont val="Tahoma"/>
            <family val="2"/>
          </rPr>
          <t>Andrea del Pilar Zambrano Barrios:</t>
        </r>
        <r>
          <rPr>
            <sz val="9"/>
            <color indexed="81"/>
            <rFont val="Tahoma"/>
            <family val="2"/>
          </rPr>
          <t xml:space="preserve">
Debe haber una acción de contingencia. </t>
        </r>
      </text>
    </comment>
    <comment ref="BD86" authorId="2" shapeId="0" xr:uid="{89DC4E4D-1393-4A5E-9449-41469CFF0E9A}">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BD87" authorId="2" shapeId="0" xr:uid="{7CBD2773-11E2-4C67-82B2-77E502C43700}">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BI87" authorId="2" shapeId="0" xr:uid="{4597F28C-462C-4BD3-99F0-11FCE41BB542}">
      <text>
        <r>
          <rPr>
            <b/>
            <sz val="9"/>
            <color indexed="81"/>
            <rFont val="Tahoma"/>
            <family val="2"/>
          </rPr>
          <t>Andrea del Pilar Zambrano Barrios:</t>
        </r>
        <r>
          <rPr>
            <sz val="9"/>
            <color indexed="81"/>
            <rFont val="Tahoma"/>
            <family val="2"/>
          </rPr>
          <t xml:space="preserve">
El responsable deberá ser de planta o la secretaria general). </t>
        </r>
      </text>
    </comment>
    <comment ref="BD88" authorId="2" shapeId="0" xr:uid="{A13FC737-23C2-4564-A5E1-6A826091CBE7}">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 ref="BD89" authorId="2" shapeId="0" xr:uid="{6D75A447-48EE-4E4A-8BC8-5CE4DF79C91D}">
      <text>
        <r>
          <rPr>
            <b/>
            <sz val="9"/>
            <color rgb="FF000000"/>
            <rFont val="Tahoma"/>
            <family val="2"/>
          </rPr>
          <t>Andrea del Pilar Zambrano Barrios:</t>
        </r>
        <r>
          <rPr>
            <sz val="9"/>
            <color rgb="FF000000"/>
            <rFont val="Tahoma"/>
            <family val="2"/>
          </rPr>
          <t xml:space="preserve">
</t>
        </r>
        <r>
          <rPr>
            <sz val="9"/>
            <color rgb="FF000000"/>
            <rFont val="Tahoma"/>
            <family val="2"/>
          </rPr>
          <t xml:space="preserve">Debemos dejar de responsable a alguien de planta, o en su defecto a la Secretaria Gneral. </t>
        </r>
      </text>
    </comment>
  </commentList>
</comments>
</file>

<file path=xl/sharedStrings.xml><?xml version="1.0" encoding="utf-8"?>
<sst xmlns="http://schemas.openxmlformats.org/spreadsheetml/2006/main" count="3375" uniqueCount="1310">
  <si>
    <t xml:space="preserve">CALIFICACIÓN DEL RIESGO </t>
  </si>
  <si>
    <t>VERIFICACIÓN DE CONTROLES ESTABLECIDOS</t>
  </si>
  <si>
    <t>CASILLAS A DISMINUIR</t>
  </si>
  <si>
    <t>PROBABILIDAD</t>
  </si>
  <si>
    <t xml:space="preserve">IMPACTO </t>
  </si>
  <si>
    <t>ZONA DE RIESGO</t>
  </si>
  <si>
    <t>PUNTAJE</t>
  </si>
  <si>
    <t>OPCIÓN DE MANEJO</t>
  </si>
  <si>
    <t>SI</t>
  </si>
  <si>
    <t>OPERATIVO</t>
  </si>
  <si>
    <t>FINANCIERO</t>
  </si>
  <si>
    <t>DE IMAGEN</t>
  </si>
  <si>
    <t>NIVEL</t>
  </si>
  <si>
    <t>DESCRIPTOR</t>
  </si>
  <si>
    <t>DESCRIPCIÓN</t>
  </si>
  <si>
    <t>FRECUENCIA</t>
  </si>
  <si>
    <t>Raro</t>
  </si>
  <si>
    <t>Improbable</t>
  </si>
  <si>
    <t>Posible</t>
  </si>
  <si>
    <t>Probable</t>
  </si>
  <si>
    <t>Casi Cierta</t>
  </si>
  <si>
    <t>Insignificante</t>
  </si>
  <si>
    <t>Menor</t>
  </si>
  <si>
    <t>Moderado</t>
  </si>
  <si>
    <t>Mayor</t>
  </si>
  <si>
    <t>Catastrófico</t>
  </si>
  <si>
    <t>No.</t>
  </si>
  <si>
    <t>SI EL RIESGO DE CORRUPCIÓN SE MATERIALIZA PODRÍA...</t>
  </si>
  <si>
    <t>RESPUESTA</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</si>
  <si>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</si>
  <si>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</si>
  <si>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</si>
  <si>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</si>
  <si>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</si>
  <si>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</si>
  <si>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</si>
  <si>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</si>
  <si>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</si>
  <si>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</si>
  <si>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</si>
  <si>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</si>
  <si>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</si>
  <si>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</si>
  <si>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</si>
  <si>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</si>
  <si>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</si>
  <si>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</si>
  <si>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Zona de Riesgo</t>
  </si>
  <si>
    <t>OPCIONES DE MANEJO DEL RIESGO</t>
  </si>
  <si>
    <t>B</t>
  </si>
  <si>
    <t xml:space="preserve">Baja </t>
  </si>
  <si>
    <t>M</t>
  </si>
  <si>
    <t xml:space="preserve">Moderada </t>
  </si>
  <si>
    <t>A</t>
  </si>
  <si>
    <t xml:space="preserve">Alta </t>
  </si>
  <si>
    <t>E</t>
  </si>
  <si>
    <t xml:space="preserve">Extrema </t>
  </si>
  <si>
    <t xml:space="preserve">Insignificante </t>
  </si>
  <si>
    <t xml:space="preserve">Menor </t>
  </si>
  <si>
    <t xml:space="preserve">Moderado </t>
  </si>
  <si>
    <t xml:space="preserve">Mayor </t>
  </si>
  <si>
    <t xml:space="preserve">Catastrófico </t>
  </si>
  <si>
    <t xml:space="preserve">Improbable </t>
  </si>
  <si>
    <t xml:space="preserve">Posible </t>
  </si>
  <si>
    <t xml:space="preserve">Probable </t>
  </si>
  <si>
    <t xml:space="preserve">TOTAL RESPUESTAS AFIRMATIVAS </t>
  </si>
  <si>
    <t>IMPACTO CORRUPCIÓN</t>
  </si>
  <si>
    <t>VALORACIÓN DEL RIESGO DE GESTIÓN</t>
  </si>
  <si>
    <t>ACCIÓN</t>
  </si>
  <si>
    <t>DESCRIPCIÓN DE CONTROLES EXISTENTES</t>
  </si>
  <si>
    <t>TIPO DE RIESGO</t>
  </si>
  <si>
    <t>Direccionamiento estratégico e innovación</t>
  </si>
  <si>
    <t>Atención a partes interesadas y comunicaciones </t>
  </si>
  <si>
    <t>Estrategia y gobierno de TI </t>
  </si>
  <si>
    <t>Planificación de la intervención vial </t>
  </si>
  <si>
    <t>Producción de mezcla y provisión de maquinaria y equipo </t>
  </si>
  <si>
    <t>Intervención de la malla vial </t>
  </si>
  <si>
    <t>Gestión de servicios e infraestructura tecnológica </t>
  </si>
  <si>
    <t>Gestión de recursos físicos </t>
  </si>
  <si>
    <t>Gestión contractual </t>
  </si>
  <si>
    <t>Gestión financiera </t>
  </si>
  <si>
    <t>Gestión de laboratorio </t>
  </si>
  <si>
    <t>Gestión del talento humano </t>
  </si>
  <si>
    <t>Gestión ambiental </t>
  </si>
  <si>
    <t>Gestión documental </t>
  </si>
  <si>
    <t>Gestión jurídica </t>
  </si>
  <si>
    <t>Control Disciplinario Interno </t>
  </si>
  <si>
    <t>Control evaluación y mejora de la gestión </t>
  </si>
  <si>
    <t>PROCESOS</t>
  </si>
  <si>
    <t>Gestion</t>
  </si>
  <si>
    <t>Corrupcion</t>
  </si>
  <si>
    <t>Seguridad_de_la_informacion</t>
  </si>
  <si>
    <t>Riesgos estratégicos</t>
  </si>
  <si>
    <t>Riesgos gerenciales</t>
  </si>
  <si>
    <t>Riesgos operativos</t>
  </si>
  <si>
    <t>Riesgos financieros</t>
  </si>
  <si>
    <t>Riesgos de cumplimiento</t>
  </si>
  <si>
    <t>Riesgo de imagen o reputacional</t>
  </si>
  <si>
    <t>Riesgo de corrupción</t>
  </si>
  <si>
    <t>Pérdida de confidencialidad de los activos</t>
  </si>
  <si>
    <t>Pérdida de la integridad de los activos</t>
  </si>
  <si>
    <t>Pérdida de la disponibilidad de los activos</t>
  </si>
  <si>
    <t>TIPOLOGÍA DE RIESGOS</t>
  </si>
  <si>
    <t>TIPO DE AMENAZA</t>
  </si>
  <si>
    <t>ANMENAZA</t>
  </si>
  <si>
    <t>Fuego</t>
  </si>
  <si>
    <t>Agua</t>
  </si>
  <si>
    <t>Fenómenos climáticos</t>
  </si>
  <si>
    <t>Fenómenos sísmicos</t>
  </si>
  <si>
    <t>Fallas en el sistema de suministro de agua</t>
  </si>
  <si>
    <t>Fallas en el suministro de aire acondicionado</t>
  </si>
  <si>
    <t>Radiación electromagnética</t>
  </si>
  <si>
    <t>Radiación térmica</t>
  </si>
  <si>
    <t>Interceptación de servicios de señales de interferencia comprometida</t>
  </si>
  <si>
    <t>Espionaje remoto</t>
  </si>
  <si>
    <t>Fallas del equipo</t>
  </si>
  <si>
    <t>Mal funcionamiento del equipo</t>
  </si>
  <si>
    <t>Saturación del sistema de información</t>
  </si>
  <si>
    <t>Mal funcionamiento del software</t>
  </si>
  <si>
    <t>Incumplimiento en el mantenimiento del sistema de información</t>
  </si>
  <si>
    <t>Uso no autorizado del equipo</t>
  </si>
  <si>
    <t>Copia fraudulenta del software</t>
  </si>
  <si>
    <t>Error en el uso o abuso de derechos</t>
  </si>
  <si>
    <t>Falsificación de derechos</t>
  </si>
  <si>
    <t>Daño_fisico</t>
  </si>
  <si>
    <t>Eventos_naturales</t>
  </si>
  <si>
    <t>Perdidas_de_los_servicios_esenciales</t>
  </si>
  <si>
    <t>Perturbacion_debida_a_la_radiacion</t>
  </si>
  <si>
    <t>Compromiso_de_la_informacion</t>
  </si>
  <si>
    <t>Fallas_tecnicas</t>
  </si>
  <si>
    <t>Acciones_no_autorizadas</t>
  </si>
  <si>
    <t>Compromiso_de_las_funciones</t>
  </si>
  <si>
    <t>TIPOS DE IMPACTO</t>
  </si>
  <si>
    <t>impactocorrupcion</t>
  </si>
  <si>
    <t>Rara vez</t>
  </si>
  <si>
    <t>Casi seguro</t>
  </si>
  <si>
    <t>OTROS IMPACTOS</t>
  </si>
  <si>
    <t>impacto</t>
  </si>
  <si>
    <t>probabilidad</t>
  </si>
  <si>
    <t>Riesgo bajo</t>
  </si>
  <si>
    <t>Riesgo moderado</t>
  </si>
  <si>
    <t>Riesgo alto</t>
  </si>
  <si>
    <t>Riesgo extremo</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</si>
  <si>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</si>
  <si>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</si>
  <si>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</si>
  <si>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</si>
  <si>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</si>
  <si>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</si>
  <si>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</si>
  <si>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Evaluación del diseño del control</t>
  </si>
  <si>
    <t>El control se ejecuta de manera consistente por los responsables</t>
  </si>
  <si>
    <t>Fuerte</t>
  </si>
  <si>
    <t>Débil</t>
  </si>
  <si>
    <t>No</t>
  </si>
  <si>
    <t>Sí</t>
  </si>
  <si>
    <t>Requiere plan de acción para fortalecer el control</t>
  </si>
  <si>
    <t>Solidez del control</t>
  </si>
  <si>
    <t>Controles ayudan a disminuir la probabilidad</t>
  </si>
  <si>
    <t>Controles ayudan a disminuir impacto</t>
  </si>
  <si>
    <t>Directamente</t>
  </si>
  <si>
    <t>No disminuye</t>
  </si>
  <si>
    <t>Indirectamente</t>
  </si>
  <si>
    <t># Columnas en la matriz de riesgo que se desplaza en el eje de la probabilidad</t>
  </si>
  <si>
    <t># Columnas en la matriz de riesgo que se desplaza en el eje de impacto</t>
  </si>
  <si>
    <t>OPCIONES DE MANEJO</t>
  </si>
  <si>
    <t>Aceptar el riesgo</t>
  </si>
  <si>
    <t>Reducir el riesgo</t>
  </si>
  <si>
    <t>Evitar el riesgo</t>
  </si>
  <si>
    <t>Compartir el riesgo</t>
  </si>
  <si>
    <t>ACTIVIDADES DE CONTROL</t>
  </si>
  <si>
    <t>RESPONSABLE</t>
  </si>
  <si>
    <t>TIEMPO</t>
  </si>
  <si>
    <t>INDICADOR</t>
  </si>
  <si>
    <t>ACTIVIDAD</t>
  </si>
  <si>
    <t>ACCIONES DE CONTINGENCIA</t>
  </si>
  <si>
    <t>Proceso</t>
  </si>
  <si>
    <t>No. Riesgo</t>
  </si>
  <si>
    <t>Riesgo</t>
  </si>
  <si>
    <t>Descripción</t>
  </si>
  <si>
    <t>Activo de información</t>
  </si>
  <si>
    <t>Tipo de riesgo</t>
  </si>
  <si>
    <t>Tipología de riesgos</t>
  </si>
  <si>
    <t>Tipo de amenaza</t>
  </si>
  <si>
    <t>Amenaza</t>
  </si>
  <si>
    <t>Causa / vulnerabilidad</t>
  </si>
  <si>
    <t>Consecuencias</t>
  </si>
  <si>
    <t>Se espera que el evento ocurra en la mayoría de las circunstancias.</t>
  </si>
  <si>
    <t>Más de  vez al año.</t>
  </si>
  <si>
    <t>Es viable que el evento ocurra en la mayoría de las circunstancias.</t>
  </si>
  <si>
    <t>Al menos 1 vez en el último año.</t>
  </si>
  <si>
    <t>El evento podría ocurrir en algún momento.</t>
  </si>
  <si>
    <t>Al menos 1 vez en los últimos 2 años.</t>
  </si>
  <si>
    <t>El evento puede ocurrir en algún momento.</t>
  </si>
  <si>
    <t>Al menos 1 vez en los últimos 4 años.</t>
  </si>
  <si>
    <t>El evento puede ocurrir solo en circunstancias excepcionales.(poco comunes o anormales)</t>
  </si>
  <si>
    <t>No se ha presentado en los últimos 4 años.</t>
  </si>
  <si>
    <t>Nro</t>
  </si>
  <si>
    <t>RIESGO</t>
  </si>
  <si>
    <t>P1</t>
  </si>
  <si>
    <t>P2</t>
  </si>
  <si>
    <t>P3</t>
  </si>
  <si>
    <t>P4</t>
  </si>
  <si>
    <t>P5</t>
  </si>
  <si>
    <t>Promedio</t>
  </si>
  <si>
    <t>Criterios para calificar el Impacto – riesgos de gestión</t>
  </si>
  <si>
    <t>Nivel</t>
  </si>
  <si>
    <t xml:space="preserve">Impacto (consecuencias) 
Cuantitativo </t>
  </si>
  <si>
    <t xml:space="preserve">Impacto (consecuencias) 
Cualitativo </t>
  </si>
  <si>
    <t>-Impacto que afecte la ejecución presupuestal en un valor ≥50%</t>
  </si>
  <si>
    <t xml:space="preserve">Interrupción de las operaciones de la Entidad por más de cinco (5) días. </t>
  </si>
  <si>
    <t xml:space="preserve"> - Pérdida de cobertura en la prestación de los servicios de la entidad ≥50%. </t>
  </si>
  <si>
    <t xml:space="preserve">- Intervención por parte de un ente de control u otro ente regulador. </t>
  </si>
  <si>
    <t xml:space="preserve">- Pago de indemnizaciones a terceros por acciones legales que pueden afectar el presupuesto total de la entidad en un valor ≥50% </t>
  </si>
  <si>
    <t xml:space="preserve">- Pérdida de Información crítica para la entidad que no se puede recuperar. </t>
  </si>
  <si>
    <t xml:space="preserve">- Pago de sanciones económicas por incumplimiento en la normatividad aplicable ante un ente regulador, las cuales afectan en un valor ≥50% del presupuesto general de la entidad. </t>
  </si>
  <si>
    <t xml:space="preserve">- Incumplimiento en las metas y objetivos institucionales afectando de forma grave la ejecución presupuestal. </t>
  </si>
  <si>
    <t>- Imagen institucional afectada en el orden nacional o regional por actos o hechos de corrupción comprobados.</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</si>
  <si>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</si>
  <si>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</si>
  <si>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</si>
  <si>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</si>
  <si>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</si>
  <si>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Sanción por parte de ente de control u otro ente regulador.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</si>
  <si>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</si>
  <si>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</si>
  <si>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</si>
  <si>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-Impacto que afecte la ejecución presupuestal en un valor ≥5%</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</si>
  <si>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</si>
  <si>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</si>
  <si>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</si>
  <si>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</si>
  <si>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</si>
  <si>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</si>
  <si>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</si>
  <si>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</si>
  <si>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</si>
  <si>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</si>
  <si>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</si>
  <si>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</si>
  <si>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</si>
  <si>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Pago de indemnizaciones a terceros por acciones legales que pueden afectar el presupuesto total de la entidad en un valor ≤1% </t>
  </si>
  <si>
    <t xml:space="preserve">- Imagen institucional afectada localmente por retrasos en la prestación del servicio a los usuarios o ciudadanos. </t>
  </si>
  <si>
    <t xml:space="preserve">- Pago de sanciones económicas por incumplimiento en la normatividad aplicable ante un ente regulador, las cuales afectan en un valor ≤1%del presupuesto general de la entidad. </t>
  </si>
  <si>
    <t>-Impacto que afecte la ejecución presupuestal en un valor ≤0,5%</t>
  </si>
  <si>
    <t xml:space="preserve">- No hay interrupción de las operaciones de la entidad. </t>
  </si>
  <si>
    <t>-Pérdida de cobertura en la prestación de los servicios de la entidad ≤1%.</t>
  </si>
  <si>
    <t>- No se generan sanciones económicas o administrativas.</t>
  </si>
  <si>
    <t xml:space="preserve">-Pago de indemnizaciones a terceros por acciones legales que pueden afectar el presupuesto total de la entidad en un valor ≤0,5% </t>
  </si>
  <si>
    <t xml:space="preserve"> - No se afecta la imagen institucional de forma significativa.</t>
  </si>
  <si>
    <t xml:space="preserve">-Pago de sanciones económicas por incumplimiento en la normatividad aplicable ante un ente regulador, las cuales afectan en un valor ≤0,5% del presupuesto general de la entidad. </t>
  </si>
  <si>
    <t xml:space="preserve">IMPACTO DE GESTIÓN </t>
  </si>
  <si>
    <t>Niveles para calificar el impacto</t>
  </si>
  <si>
    <t>Impacto (consecuencias) 
Cualitativo</t>
  </si>
  <si>
    <t>Afectación ≥X% de la población</t>
  </si>
  <si>
    <t>Sin afectación de la integridad</t>
  </si>
  <si>
    <t xml:space="preserve">Afectación ≥X% del presupuesto anual de la entidad </t>
  </si>
  <si>
    <t xml:space="preserve">Sin afectación de la disponibilidad </t>
  </si>
  <si>
    <t>No hay Afectación medioambiental</t>
  </si>
  <si>
    <t>Sin afectación de la confidencialidad</t>
  </si>
  <si>
    <t xml:space="preserve">Afectación ≥X% de la población </t>
  </si>
  <si>
    <t xml:space="preserve">Afectación leve de la integridad </t>
  </si>
  <si>
    <t>Afectación leve de la disponibilidad</t>
  </si>
  <si>
    <t>Afectación leve del Medio Ambiente requiere de ≥X días de recuperación</t>
  </si>
  <si>
    <t>Afectación leve de la confidencialidad</t>
  </si>
  <si>
    <t xml:space="preserve">Afectación moderada de la integridad de la información debido al interés particular de los empleados y terceros </t>
  </si>
  <si>
    <t xml:space="preserve">Afectación moderada de la disponibilidad de la información debido al interés particular de los empleados y terceros </t>
  </si>
  <si>
    <t>Afectación leve del Medio Ambiente requiere de ≥X semanas de recuperación</t>
  </si>
  <si>
    <t>Afectación moderada de la confidencialidad de la información debido al interés particular de los empleados y terceros</t>
  </si>
  <si>
    <t>4</t>
  </si>
  <si>
    <t xml:space="preserve">Afectación grave de la integridad de la información debido al interés particular de los empleados y terceros </t>
  </si>
  <si>
    <t xml:space="preserve"> Afectación ≥X% del presupuesto anual de la entidad </t>
  </si>
  <si>
    <t>Afectación grave de la disponibilidad de la información debido al interés particular de los empleados y terceros</t>
  </si>
  <si>
    <t>Afectación importante del Medio Ambiente que requiere de ≥X meses de recuperación</t>
  </si>
  <si>
    <t>Afectación grave de la confidencialidad de la información debido al interés particular de los empleados y terceros</t>
  </si>
  <si>
    <t xml:space="preserve">Afectación muy grave de la integridad de la información debido al interés particular de los empleados y terceros </t>
  </si>
  <si>
    <t xml:space="preserve">Afectación muy grave de la disponibilidad de la información debido al interés particular de los empleados y terceros </t>
  </si>
  <si>
    <t>Afectación muy grave del Medio Ambiente que requiere de ≥X años de recuperación</t>
  </si>
  <si>
    <t>Afectación muy grave confidencialidad de la información debido al interés particular de los empleados y terceros</t>
  </si>
  <si>
    <t>EJEMPLOS DE CONTROLES</t>
  </si>
  <si>
    <t>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t>
  </si>
  <si>
    <t>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x cobrar pendientes de pago que fueron canceladas según extracto bancarios. En caso de observar cuentas de cobro que a la fecha no se ha recibido el pago, lista las cuentas pendientes de pago y realiza llamadas a los clientes y solicita que le indiquen la fecha para el pago oportuno de las mismas. Como evidencia queda listado de cuentas por cobrar pendientes de pago en Excel con los compromisos acordados con los clientes y extracto bancario.</t>
  </si>
  <si>
    <t>El sistema SAP cada vez que se va a realizar un pago valida que el proveedor al cual se le va a girar el pago no este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programación interna del aplicativo y reporte de coincidencia con listas restrictivas.</t>
  </si>
  <si>
    <t>Casi Seguro</t>
  </si>
  <si>
    <t>IMPACTO</t>
  </si>
  <si>
    <t>Incumplimiento de objetivos y metas institucionales.</t>
  </si>
  <si>
    <t>Asignado</t>
  </si>
  <si>
    <t>Adecuado</t>
  </si>
  <si>
    <t>Oportuna</t>
  </si>
  <si>
    <t>Completa</t>
  </si>
  <si>
    <t>Confiable</t>
  </si>
  <si>
    <t>Prevenir</t>
  </si>
  <si>
    <t>Se investigan y resuelven oportunamente</t>
  </si>
  <si>
    <t>Siempre se ejecuta</t>
  </si>
  <si>
    <t>Solidez del conjunto de controles</t>
  </si>
  <si>
    <t>SOPORTE / PRODUCTO</t>
  </si>
  <si>
    <t>TIPOLOGÍA DE RIESGO</t>
  </si>
  <si>
    <t>( Muestra las clases de riesgos que se pueden presentar)</t>
  </si>
  <si>
    <t>ESTRATÉGICOS</t>
  </si>
  <si>
    <t xml:space="preserve">Son aquellos que se asocian con la posibilidad de ocurrencia de eventos que afecten los objetivos estratégicos de la organización pública y por tanto impactan toda la entidad. </t>
  </si>
  <si>
    <t>GERENCIALES</t>
  </si>
  <si>
    <t>Son aquellos que se asocian con la posibilidad de ocurrencia de eventos que afecten los procesos gerenciales y/o la alta dirección.</t>
  </si>
  <si>
    <t xml:space="preserve">Son aquellos relacionados conposibilidad de ocurrencia de eventos que afecten los procesos misionales de la entidad. </t>
  </si>
  <si>
    <t>Son los relacionados con la Gestión Financiera  de la entidad, los cuales pueden estar relacionados con la posibilidad de ocurrencia de eventos que afecten los estados financieros y todas aquellas áreas involucradas con el proceso financiero como presupuesto, tesorería, contabilidad, cartera, central de cuentas, costos, etc</t>
  </si>
  <si>
    <t>CUMPLIMIENTO</t>
  </si>
  <si>
    <t xml:space="preserve">Son aquellos que se asocian con la posibilidad de ocurrencia de eventos que afecten la situación jurídica o contractual de la organización debido a su incumplimiento o desacato a la normatividad legal y las obligaciones contractuales. </t>
  </si>
  <si>
    <t>TECNOLÓGICOS</t>
  </si>
  <si>
    <t xml:space="preserve">Son los relacionados con la posibilidad de ocurrencia de eventos que afecten la totalidad o parte de la infraestructura tecnológica (hardware, software, redes, etc.) de una entidad. </t>
  </si>
  <si>
    <t>Están relacionados con la posibilidad de ocurrencia de un evento que afecte la imagen, buen nombre o reputación de una organización, ante sus clientes y partes interesadas</t>
  </si>
  <si>
    <t>CORRUPCIÓN</t>
  </si>
  <si>
    <t xml:space="preserve">Son todos los relacionados con la posibilidad de que por acción u omisión, se use el poder para desviar la gestión de lo público hacia un beneficio privado. </t>
  </si>
  <si>
    <t>RIESGOS DE SEGURIDAD DIGITAL</t>
  </si>
  <si>
    <t xml:space="preserve">Están relacionados con posibilidad de la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</si>
  <si>
    <t>¿Dar lugar a procesos penales?</t>
  </si>
  <si>
    <t>¿Generar daño ambiental?</t>
  </si>
  <si>
    <r>
      <t>Responder afirmativamente de 1 a 5 pregunta(s) genera un impacto</t>
    </r>
    <r>
      <rPr>
        <b/>
        <sz val="10"/>
        <rFont val="Arial"/>
        <family val="2"/>
      </rPr>
      <t xml:space="preserve"> Moderado</t>
    </r>
    <r>
      <rPr>
        <sz val="11"/>
        <color theme="1"/>
        <rFont val="Arial"/>
        <family val="2"/>
      </rPr>
      <t xml:space="preserve">
Responder afirmativamente de 6 a 11 preguntas genera un impacto </t>
    </r>
    <r>
      <rPr>
        <b/>
        <sz val="10"/>
        <rFont val="Arial"/>
        <family val="2"/>
      </rPr>
      <t xml:space="preserve">Mayor </t>
    </r>
    <r>
      <rPr>
        <sz val="11"/>
        <color theme="1"/>
        <rFont val="Arial"/>
        <family val="2"/>
      </rPr>
      <t xml:space="preserve">
Responder afirmativamente de 12 a 19 preguntas genera un impacto </t>
    </r>
    <r>
      <rPr>
        <b/>
        <sz val="10"/>
        <rFont val="Arial"/>
        <family val="2"/>
      </rPr>
      <t>Catastrófico</t>
    </r>
    <r>
      <rPr>
        <sz val="11"/>
        <color theme="1"/>
        <rFont val="Arial"/>
        <family val="2"/>
      </rPr>
      <t>.</t>
    </r>
  </si>
  <si>
    <r>
      <t xml:space="preserve">ACEPTAR EL RIESGO
</t>
    </r>
    <r>
      <rPr>
        <sz val="11"/>
        <rFont val="Arial"/>
        <family val="2"/>
      </rPr>
      <t xml:space="preserve">La aceptación del riesgo puede ser una opción viable en la entidad, para los </t>
    </r>
    <r>
      <rPr>
        <u/>
        <sz val="11"/>
        <rFont val="Arial"/>
        <family val="2"/>
      </rPr>
      <t>riesgos bajos</t>
    </r>
    <r>
      <rPr>
        <sz val="11"/>
        <rFont val="Arial"/>
        <family val="2"/>
      </rPr>
      <t>, pero tambien pueden existir escenarios de riesgos a los que no se les pueda aplicar controles y por ende, se acepta el riesgo. En ambos escenarios debe existir un seguimiento continuo del riesgo</t>
    </r>
  </si>
  <si>
    <t>No se adopta ninguna medida que afecte la probabilidad o el impacto del riesgo. (Ningún riesgo de corrupción podrá ser aceptado) se realiza monitoreo</t>
  </si>
  <si>
    <r>
      <t xml:space="preserve">REDUCIR EL RIESGO
</t>
    </r>
    <r>
      <rPr>
        <sz val="11"/>
        <rFont val="Arial"/>
        <family val="2"/>
      </rPr>
      <t>Deberían seleccionarse controles apropiados y con una adecuada segregación de funciones, de manera que el tratamiento al riesgo adoptado, logre la reducción prevista sobre el riesgo.
Para mitigar/tratar los riesgos de seguridad digital, se debe emplear como minimo los controles de la ISO/IEC 27001:2013</t>
    </r>
  </si>
  <si>
    <t>Se adoptan medidas para reducir la probabilidad o el impacto del riesgo, o ambos; por lo general conlleva a la implementación de controles.</t>
  </si>
  <si>
    <r>
      <t xml:space="preserve">EVITAR EL RIESGO
</t>
    </r>
    <r>
      <rPr>
        <sz val="11"/>
        <rFont val="Arial"/>
        <family val="2"/>
      </rPr>
      <t xml:space="preserve">Desde el punto de vista de los responsables de la toma de decisiones, este tratamiento es simple, la menos arriesgada y menos costosa, pero es un obstáculo para el desarrollo de las actividades de la entidad y por lo tanto </t>
    </r>
    <r>
      <rPr>
        <u/>
        <sz val="11"/>
        <rFont val="Arial"/>
        <family val="2"/>
      </rPr>
      <t>hay situaciones donde no es una opción.</t>
    </r>
  </si>
  <si>
    <t>Se abandonan las actividades que dan lugar al riesgo, decidiendo no iniciar o no continuar con la actividad que causa el riesgo.</t>
  </si>
  <si>
    <r>
      <t xml:space="preserve">COMPARTIR O TRANSFERIR EL RIESGO
</t>
    </r>
    <r>
      <rPr>
        <sz val="11"/>
        <rFont val="Arial"/>
        <family val="2"/>
      </rPr>
      <t>los dos principales métodos de compartir o transferir parte del riesgos son : seguros y tercerización. Estos mecanismos de transferencia de riesgos deberían estra formalizados a través de un acuerdo contractual.</t>
    </r>
  </si>
  <si>
    <t>Se reduce la probabilidad o el impacto del riesgo, transfiriendo o compartiendo una parte del riesgo. Los riesgos de corrupción, se pueden compartir pero no se puede transferir su responsabilidad.</t>
  </si>
  <si>
    <t>El profesional designado por la OAP remitirá al inicio de cada vigencia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</si>
  <si>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EVALUACIÓN DEL RIESGO INHERENTE</t>
  </si>
  <si>
    <t>EVALUACIÓN DE  RIESGO RESIDUAL</t>
  </si>
  <si>
    <t>Entrega de información no confiable, verás y oportuna para la toma de decisiones de la alta dirección</t>
  </si>
  <si>
    <t xml:space="preserve">En la consolidación y revisión de la información para la alta dirección existen factores como la carga laboral y el desconocimiento del quehacer institucional que pueden afectar la veracidad, oportunidad y pertinencia que genera una inadecuada toma de decisiones.
</t>
  </si>
  <si>
    <t>N/A</t>
  </si>
  <si>
    <t>La información entregada por los procesos no se caracteriza por ser: veraz, oportuna y adecuada.</t>
  </si>
  <si>
    <t>Preparar y realizar las capacitaciones a los enlaces involucrados en el proceso de reporte de información a la OAP.</t>
  </si>
  <si>
    <t>Actas y presentación</t>
  </si>
  <si>
    <t xml:space="preserve">Jefe Oficina Asesora de Planeación </t>
  </si>
  <si>
    <t>Semestral</t>
  </si>
  <si>
    <t>El personal designado para el reporte de la información tiene alta carga laboral.</t>
  </si>
  <si>
    <t>En comité directivo, la jefe de la Oficina Asesora de Planeación  socializará el perfil y las responsabilidades de los enlaces de procesos, donde los responsables directivos de los procesos semestralmente revisarán que sus enlaces cumplan con los criterios establecidos para éstos; si en la revisión se identifica una desviación el responsable directivo tomará acciones .</t>
  </si>
  <si>
    <t>Realizar una encuesta de apropiación del conocimiento sobre los reportes realizados a la OAP.</t>
  </si>
  <si>
    <t>Resultados de la encuesta</t>
  </si>
  <si>
    <t xml:space="preserve">Desconocimientos del personal designado para el reporte de información del quehacer  de la entidad y de los instrumentos para la toma de decisiones  </t>
  </si>
  <si>
    <t>El profesional designado por la OAP remitirá encuesta trimestral  sobre conocimiento de instrumentos y sistemas de gestión. Una vez los enlaces o personal designado para el reporte de información,  respondan la encuesta , la jefe OAP revisará los resultados de la encuesta.
En el caso que se identifiquen en la calificación de la encuesta un porcentaje menor al 70% , se realizarán mesas mensuales de sensibilización sobre el Sistema de Gestión e instrumentos.</t>
  </si>
  <si>
    <t>Detectar</t>
  </si>
  <si>
    <t>Algunas veces</t>
  </si>
  <si>
    <t>Elaborar plan de mejoramiento y Adelantar mesas de socialización y apropiación del quehacer, procesos y procedimientos de la entidad.</t>
  </si>
  <si>
    <t>Acciones de mejoramiento y Mesas de socialización y divulgación</t>
  </si>
  <si>
    <t>Cuando se presente</t>
  </si>
  <si>
    <t>Inadecuada viabilización de las necesidades de inversión.</t>
  </si>
  <si>
    <t>Al viabilizar las necesidades que no están relacionadas con los objetivos y metas de los proyectos de inversión, se puede generar el incumpliendo de los mismos, ocasionando una indebida imputación presupuestal, que conllevaría a la reducción del presupuesto de la Entidad; al incumplimiento los objetivos del Plan de Desarrollo Distrital y de la política de conservación de la infraestructura vial local. Lo anterior, originado por el desconocimiento de las gerencias de sus proyectos de inversión, un mal ejercicio de programación y planeación, y la falta de unificación de criterios por parte del personal designado para esta actividad.</t>
  </si>
  <si>
    <t>Gestión</t>
  </si>
  <si>
    <t>Desconocimiento de las gerencias de sus proyectos de inversión</t>
  </si>
  <si>
    <t xml:space="preserve"> Incumplimiento de los objetivos y metas de los proyectos de inversión, ocasionando una indebida imputación presupuestal, que conllevaría a la reducción del presupuesto de la Entidad; al incumplimiento los objetivos del Plan de Desarrollo Distrital y de la política de conservación de la infraestructura vial local. </t>
  </si>
  <si>
    <t>La Jefe de la Oficina Asesora de Planeación establece mesas de trabajo trimestralmente convocadas por el correo institucional, con los equipos de trabajo designados por las gerencias de los proyectos y los colaboradores del proceso de contratación. En estas mesas se validan los criterios de justificación de las necesidades de inversión. Al identificar el incumplimiento de los criterios establecidos, se devuelve la solicitud de CDP.</t>
  </si>
  <si>
    <t>Elaborar cuatro documentos de seguimiento y alertas a proyectos de inversión.</t>
  </si>
  <si>
    <t>Documentos</t>
  </si>
  <si>
    <t>Mal ejercicio de programación y planeación</t>
  </si>
  <si>
    <t>La Jefe de la Oficina Asesora de Planeación solicita el cumplimiento del procedimiento para la consolidación y modificación del Plan de Adquisiciones establecido en el manual de contratación; en el momento de recibir las solicitudes de CDP, se verifica que la necesidad esté incluida dentro del Plan de Adquisiciones. En caso de encontrar inconsistencias en las solicitudes, se devuelve al solicitante para sus ajustes respectivos. Este trámite se realiza a través del sistema de correspondencia de la entidad y del correo electrónico de los involucrados.</t>
  </si>
  <si>
    <t xml:space="preserve">Realizar cuatro mesas de seguimiento a proyectos de inversión. </t>
  </si>
  <si>
    <t>Actas</t>
  </si>
  <si>
    <t>Falta de unificación de criterios por parte del personal designado para esta actividad.</t>
  </si>
  <si>
    <t xml:space="preserve">Semestralmente, la Jefe de la Oficina Asesora de Planeación convoca mesas de trabajo con los involucrados en el procedimiento para revisar y unificar los criterios de revisión y viabilización de las solicitudes de CDP conforme a las normas presupuestales. </t>
  </si>
  <si>
    <t>Publicar en la web de la entidad  los documentos de seguimiento y alertas a proyectos de inversión.</t>
  </si>
  <si>
    <t>Publicación</t>
  </si>
  <si>
    <t>Elaborar, socializar y publicar un instructivo del aplicativo SAFIRO para el seguimiento a los proyectos de inversión.</t>
  </si>
  <si>
    <t>Instructivo</t>
  </si>
  <si>
    <t>Trimestral</t>
  </si>
  <si>
    <t>Abril</t>
  </si>
  <si>
    <t xml:space="preserve">Realizar plan de mejoramiento </t>
  </si>
  <si>
    <t>Acciones de mejoramiento</t>
  </si>
  <si>
    <t>Jefe Oficina Asesora de Planeación</t>
  </si>
  <si>
    <t>En el momento de materialización del riesgo</t>
  </si>
  <si>
    <t>Pérdida de disponibilidad</t>
  </si>
  <si>
    <t>No se cuenta con un repositorio de respaldo de la información contenida en la Intranet, por lo tanto, ante una eventual falla en el servicio la entidad, no contará con la disponibilidad de la información afectando el desarrollo de la gestión institucional.</t>
  </si>
  <si>
    <t>  Servicios de computación y comunicaciones: Intranet SISGESTIÓN</t>
  </si>
  <si>
    <t>Falta de conciencia en seguridad</t>
  </si>
  <si>
    <t>Afectación en el desarrollo de la gestión institucional</t>
  </si>
  <si>
    <t>Los colaboradores de la OAP almacenarán la información del proceso en el servidor y en la aplicación del correo SharePoint, donde el jefe de la Oficina Asesora de Planeación revisará que la información del proceso esté completa, en caso de identificar que falta información, solicitará al responsable que la suba  a través de correo electrónico.</t>
  </si>
  <si>
    <t>Incompleta</t>
  </si>
  <si>
    <t>Seguimiento al Back Up realizado por los colaboradores de la OAP</t>
  </si>
  <si>
    <t>Back Up</t>
  </si>
  <si>
    <t>Falta de un ambiente alternativo que permita poner a disposición la consulta de información</t>
  </si>
  <si>
    <t>El jefe de la Oficina Asesora de Planeación debe solicitar trimestralmente al web master  la copia de la Información en un Back-Up de la información de la Intranet SISGESTIÓN, donde el personal designado por el jefe de la OAP verificará que este  completo, en el caso de identicar algún faltante de información se el ajuste para completarlo.</t>
  </si>
  <si>
    <t>Seguimiento a la solicitud de Back-Up al web master</t>
  </si>
  <si>
    <t>Utilizar el Back Up realizado por el web master</t>
  </si>
  <si>
    <t>Incumplimiento de todos los requerimientos de la  dimensión de innovación y gestión del conocimiento en la Entidad</t>
  </si>
  <si>
    <t>En la formulación y aplicación de la estrategia de gestión del conocimiento de la entidad pueden existir factores como la falta de conocimiento sobre temas de innovación, fallas en la transmisión de ideas y conceptos entre las diferentes dependencias de la entidad y mala administración de la documentación sobre el tema, que pueden afectar la implementación de una estrategia de innovación y conocimiento en la Entidad.</t>
  </si>
  <si>
    <t>Desconocimiento de los colaboradores de los conceptos relacionados con innovación y gestión del conocimiento.</t>
  </si>
  <si>
    <t xml:space="preserve">Incumplimiento de la estrategia para implementar la dimensión 6 del MIPG y bajos resultados en la evaluación de la gestión y desarrollo institucional. </t>
  </si>
  <si>
    <t>El colaborador designado de la OAP realizará una encuesta semestral sobre los conceptos relacionados con los tema tratados en las capacitaciones para esta dimensión. Una vez los colaboradores hayan contestado la encueta, la jefe de la OAP revisará los resultados. En caso en el que el resultado de la encuesta arroje un desconocimiento sobre los conceptos menor al 50%  se procede a ampliar las socializaciones sobre el tema en la Entidad.</t>
  </si>
  <si>
    <t>Realizar capacitación sobre Innovación pública y   sensibilización sobre la importancia de la innovación pública</t>
  </si>
  <si>
    <t>Actas, memorias, videos, fotos, noticias, encuesta sobre innovación pública a los colaboradores de la entidad</t>
  </si>
  <si>
    <t>SEMESTRAL</t>
  </si>
  <si>
    <t>Falta de compromiso de los responsables directivos con los proyectos de innovación y gestión del conocimiento en la entidad.</t>
  </si>
  <si>
    <t>De acuerdo con el procedimiento de innovación y gestión del conocimiento y la circular 02 de 2018,  cada semestre la Jefe de la OAP hará seguimiento al trámite de los proyectos donde revisará si después del registro de la iniciativa, los directivos asistieron a la reunión programada para la aprobación de ésta con el Director General. En caso de haber algún proyecto dilatado por la inacción del responsable directivo, se le hará el llamado de atención personalmente, con el fin de dar trámite a la iniciativa.</t>
  </si>
  <si>
    <t>Realizar un procedimiento de innovación estratégica</t>
  </si>
  <si>
    <t>Procedimiento cargado en SISGESTIÓN</t>
  </si>
  <si>
    <t>ANUAL</t>
  </si>
  <si>
    <t xml:space="preserve">Inadecuada disposición y organización de la documentación de los proyectos de innovación y gestión del conocimiento </t>
  </si>
  <si>
    <t xml:space="preserve">La  Jefe de la OAP verificará semestralmente que el repositorio digital de innovación y gestión del conocimiento de la entidad  cuente con todos los documentos, informes, documentos de interés y evidencias para el diligenciamiento del Índice de Innovación de la Veeduría Distrital y el seguimiento de las iniciativas del Banco de Proyectos de la entidad.
 En caso de que algún documento o evidencia no se halle en el repositorio, se  solicitará que se complete el registro o se deje constancia de la falta de información. </t>
  </si>
  <si>
    <t>Elaborar  la estrategia de Innovación y Gestión del Conocimiento en la Entidad.</t>
  </si>
  <si>
    <t>Registro de documentos del repositorio de innovación y gestión del conocimiento en la UAERMV</t>
  </si>
  <si>
    <t>Generar acuerdos con entidades aliadas que puedan apoyar en la consolidación de una estrategia completa de gestión del conocimiento y la innovación en la entidad</t>
  </si>
  <si>
    <t>Actas de visita</t>
  </si>
  <si>
    <t xml:space="preserve">Baja participación de las partes interesadas en los ejercicios de rendición de cuentas y participación ciudadana. </t>
  </si>
  <si>
    <t xml:space="preserve">Debido al poco tiempo para la realización de la convocatoria y socialización de los espacios de participación, así como al desconocimiento de la importancia de asistir a los espacios de participación  de la Entidad por las partes interesadas, se evidencia una baja participación, generando dificultad para aplicar la metodología, así como la desviación del tema central y la realización de un espacio poco efectivo que permita tomar acciones de mejora por parte de la entidad. </t>
  </si>
  <si>
    <t>Tiempo insufiente para la realización de la convocatoria y socialización de los espacios de participación</t>
  </si>
  <si>
    <t>No contar con un espacio efectivo para tener un diálogo completo para tener insumos para fortalecer los instrumentos de planeación.</t>
  </si>
  <si>
    <t>El personal designado para la realización de la estrategia de participación ciudadana realizará al inicio de la vigencia el cronograma para aplicarla, el cual se presentará al jefe de la OAP , quien realizará el seguimiento y verificará mensualmente que se cumplan las fechas de dicho cronograma. Al momento de identificar incumplimientos a las actividades generará las alertas en comité directivo.</t>
  </si>
  <si>
    <t>Ajustar la metodología de rendición de cuentas conforme a las observaciones de las partes interesadas en los anteriores espacios</t>
  </si>
  <si>
    <t>Metodología ajustada</t>
  </si>
  <si>
    <t xml:space="preserve">Mensual </t>
  </si>
  <si>
    <t>Desconocimiento de la importancia de los grupos de valor de hacer parte de los espacios de participación de la Entidad.</t>
  </si>
  <si>
    <t>La jefe de la OAP verificará bimensualmente que se divulgue la campaña de participación ciudadana por los canales de comunicación con los que cuenta la Entidad. En caso identificar que no se esté realizando la divulgación, generará las alertas correspondientes.</t>
  </si>
  <si>
    <t>Incluir en el plan de comunicaciones la campaña de rendición de cuentas</t>
  </si>
  <si>
    <t>Plan de comunicaciones con campaña incluida</t>
  </si>
  <si>
    <t>Bimensual</t>
  </si>
  <si>
    <t>Formular plan de mejoramiento de rendición de cuentas</t>
  </si>
  <si>
    <t>En el momento que se presente el riesgo</t>
  </si>
  <si>
    <t>EFICACIA:
Índice de cumplimiento actividades= (# de actividades cumplidas / # de actividades programadas) x 100</t>
  </si>
  <si>
    <t>Desatención de las solicitudes (PQRSFD) o atención fuera de los términos establecidos por la normativa en la materia.</t>
  </si>
  <si>
    <t>En atención al volumen de requerimientos recibidos por la entidad, a la inadecuada centralización de las peticiones en el proceso para su asignación y tramite y a la deficiencia de los controles establecidos para el seguimiento oportuno a las respuestas, puede materiaizarse el vencimiento de los requerimientos conforme a los terminos legales establecidos en CPACA y en la Ley 1755 de 2015, generando una disminución de la percepción positiva de la entidad y desconociendo el derecho fundamental de petición de la ciudadanía.</t>
  </si>
  <si>
    <t>Inadecuada centralización de las peticiones en el proceso para su adecuado asignación y tramite</t>
  </si>
  <si>
    <t>1. Disminución de percepción positiva de la entidad
2. Desconocimiento del derecho fundamental de petición de la ciudadanía.
3. Acciones disciplinarias frente a los responsables de la atención y seguimiento a requerimientos</t>
  </si>
  <si>
    <t xml:space="preserve">El colaborador designado por la Secretaria General del  proceso de gestión documental remite diariamente la totalidad de requerimientos allegados a la Entidad al proceso de Atención a partes interesadas y comunicaciones, con el fin de que se proceda a  realizar el registro en una base de datos, posterior reparto y seguimiento a las peticiones esto permite poder centralizar las solicitudes y por ende realizar una adecuada verificación del estado de las mismas. </t>
  </si>
  <si>
    <t>Centralizar la totalidad de peticiones en el proceso para su adecuado reparto y seguimiento</t>
  </si>
  <si>
    <t>Sistema de gestión documental Orfeo</t>
  </si>
  <si>
    <t>Secretaria General</t>
  </si>
  <si>
    <t>Diciembre de 2019</t>
  </si>
  <si>
    <t>(N de requerimientos allegados a la entidad / N de requerimientos centralizados en el proceso) * 100</t>
  </si>
  <si>
    <t>Deficiencia de los controles establecidos para el seguimiento oportuno a las respuestas a los requerimientos</t>
  </si>
  <si>
    <t>El colaborador encargado de atención a la ciudadanía, en cumplimiento a las directrices de la Secretaría General realiza la consolidación en  una base de datos de los requerimientos ingresados a la Entidad, con el objetivo de verificar los tiempos de vencimiento y generar las alertas y monitoreos a las áreas encargadas de proyectar respuesta. En caso de evidenciar próximos incumplimientos  se emite correo electronico y/o memorando al colaborador encargado de la respuesta, indicando el plazo máximo conforme a lo establecido por la Ley.</t>
  </si>
  <si>
    <t>Revisar y ajustar la base de datos de seguimiento a los requerimientos</t>
  </si>
  <si>
    <t>Base de datos proceso APIC</t>
  </si>
  <si>
    <t>Marzo de 2019</t>
  </si>
  <si>
    <t>1 base de datos ajustada</t>
  </si>
  <si>
    <t>Elaborar informes trimestrales de seguimiento a PQRS</t>
  </si>
  <si>
    <t>Informe trimestral de seguimiento</t>
  </si>
  <si>
    <t>(N de informes elaborados / N de informes programados) * 100</t>
  </si>
  <si>
    <t>Remitir alertas de vencimiento de términos de respuesta</t>
  </si>
  <si>
    <t>Correos o memorandos de alerta de vencimiento de términos</t>
  </si>
  <si>
    <t>(N. de correos o memorandos de alerta / N. de alertas de vencimiento menores a 2 días evidenciadas)</t>
  </si>
  <si>
    <t xml:space="preserve">Remisión de respuesta inmediata a la petición </t>
  </si>
  <si>
    <t>Respuesta a peticiones</t>
  </si>
  <si>
    <t>Todos los procesos</t>
  </si>
  <si>
    <t>De forma inmediata cuando se materialice el riesgo</t>
  </si>
  <si>
    <t xml:space="preserve">Dar respuesta incorrecta , incompleta o contradictoria a una solicitud </t>
  </si>
  <si>
    <t xml:space="preserve">Debido  a  la falta de claridad en la solicitud recibida en la Entidad asi como  a la debilidad en los controles frente al contenido de la respuesta a las peticiones y falta de capacitación de los servidores o colaborades encargados de atender las solicitudes en lo concerniente a tratamiento de derechos de petición, puede ocasionarse una  disminución en la calidad de las respuestas, incorformidad  y una baja  percepción del ciudadano frente a la Entidad  e  incumplimiento en los atributos del buen servicio. </t>
  </si>
  <si>
    <t xml:space="preserve">Falta de claridad en la solicitud recibida en la Entidad </t>
  </si>
  <si>
    <t>1. Disminución en la calidad de las respuestas.
3.Disminución de percepción positiva de la entidad
3. Desconocimiento del derecho fundamental de petición de la ciudadanía.</t>
  </si>
  <si>
    <t>El  colaborador encargado de dar respuesta a las peticiones, cada vez que verifica el contenido del requerimiento y no es claro o el mismo se encuentre incompleto, requeriere al peticionario medainte oficio dentro de los diez (10) días siguientes a la recepción del requerimiento para que lo complete en el término máximo de un (1) mes, de conformidad con la Ley 1755 de 2015, con el fin de proceder a ampliar la solicitud y dar respuesta definitiva al requerimiento. Si el peticionario no realiza la ampliación de la petición se procede a dar cierre por desistimiento tácito, mediante la emisión del acto administrativo.</t>
  </si>
  <si>
    <t>Requerir al peticionario, en caso de evidenciase peticiones incompletas o confusas, dentro de los diez (10) días siguientes a la recepción del requerimiento para que lo complete dentro de los términos establecidos por Ley.</t>
  </si>
  <si>
    <t xml:space="preserve">Correos electrónicoso oficios remitidos </t>
  </si>
  <si>
    <t>N. de requerimientos a ciudadanos / N. de peticiones incompletas o confusas recibidas en la Entidad</t>
  </si>
  <si>
    <t>Remisión de nuevo oficio de respuesta al ciudadano completando o aclarando la información entregada.</t>
  </si>
  <si>
    <t>Cuando se materialice el riesgo</t>
  </si>
  <si>
    <t>Debilidad en los controles frente a la verificación del contenido de la respuesta a las peticiones</t>
  </si>
  <si>
    <t>El colaborador encargado de atención a la ciudadanía verifica que el contenido de la respuesta al requerimiento PQRSFD contenga la totalidad de la información solicitada por el peticionario y este escrito en lenguaje claro, y en caso de encontrar inconsistencias, remitirá correo electronico solicitando verificación del contenido de la respuesta al colaborador que proyectó la misma.</t>
  </si>
  <si>
    <t>Solicitar ajustes, correcciones o verificaciones mediante correo electrónico al funcionario o colaborador competente de dar respuesta.</t>
  </si>
  <si>
    <t>Correos electrónicos</t>
  </si>
  <si>
    <t>N. de respuestas ajustadas / N. de solicitudes de ajuste o correciones realizadas</t>
  </si>
  <si>
    <t>Debilidad en la capacitación de los servidores o colaborades encargados de atender las solicitudes en lo concerniente a tratamiento de derechos de petición</t>
  </si>
  <si>
    <t>El colaborador designado por la Secretaria General del  proceso semestralmente  realiza capacitaciones y sensibilizaciones en temáticas relacionadas con la atención de derechos de petición, su contenido, lenguaje ciudadano, marco normativo, procedimiento de atención y términos de respuesta, dirigidas a los colaboradores de la Entidad designados para dar respuesta a las PQRSFD, con el fin de comunicar los lineamientos y procedimientos en lo que concierne con el trámite interno de peticiones.  En caso de que se presenten nuevas actualizaciones normativas o procedimentales, se procederá a convocar nuevas sesiones de sensibilización de forma prioritaria.</t>
  </si>
  <si>
    <t>Realizar periodicamente capacitaciones o sensibilizaciones</t>
  </si>
  <si>
    <t>Actas o listados de asistencia</t>
  </si>
  <si>
    <t>N. de servidores o colaboradores impactados con la capacitación o sensibilización</t>
  </si>
  <si>
    <t xml:space="preserve">Fallas  en el Sistema de información Bogota Te escucha </t>
  </si>
  <si>
    <t>Las fallas presentadas en el aplicativo Bogotá Te Escucha - SDQS son inesperadas y conlleva a que el registro y trámite de las peticiones ciudadanas no se realice de manera adecuada y se pierda la trazabilidad de las peticiones</t>
  </si>
  <si>
    <t>Sistema de Información Bogotá Te Escucha</t>
  </si>
  <si>
    <t>Mantenimientos y/o actualizaciones realizadas por el administrador general del aplicatico Bogotá Te Escucha - SDQS</t>
  </si>
  <si>
    <t>1. Registro y trámite de peticiones en el aplicativo Bogotá Te Escucha - SDQS de manera inadecuada                               
2. Perdida de la trazabilidad de las peticiones</t>
  </si>
  <si>
    <t>El servidor público designado del proceso como administrador del aplicativo Bogotá Te Escucha SDQS para la Entidad, debe reportar al correo de soporte técnico del aplicativo las fallas que presente el sistema y que interrumpa el que-hacer en el registro, trámite y trazabilidad de las peticiones ciudadanas, con el fin de mantener la trazabilidad de los requerimientos allegados y sus respuestas, en articulación con el sistema de gestión documental y con la base de datos interna consolidada por el proceso, garantizando la atención oportuna de los requerimientos y el respaldo de la información.</t>
  </si>
  <si>
    <t>Remitir correos de solicitud de soporte al Administrador del Aplicativo Bogotá Te Escucha</t>
  </si>
  <si>
    <t>Correos remitidos</t>
  </si>
  <si>
    <t>N de correos remitidos</t>
  </si>
  <si>
    <t>Respuesta del soporte técnico del aplicativo</t>
  </si>
  <si>
    <t>Correos de respuesta del soporte</t>
  </si>
  <si>
    <t>Gestionar la infomación de los requerimientos ingresados en el aplicativo en la base de datos interna del proceso</t>
  </si>
  <si>
    <t>(N de requerimientos allegados a la entidad / N de requerimientos registrados en la base de datos del proceso) * 100</t>
  </si>
  <si>
    <t>Descargar el reporte de las peticiones registradas en ORFEO para dar el trámite pertinente</t>
  </si>
  <si>
    <t xml:space="preserve">Reportes del aplicativo ORFEO </t>
  </si>
  <si>
    <t>Cuando  se materialice el riesgo</t>
  </si>
  <si>
    <t>Desconocimiento del quehacer de la entidad por parte de los colaboradores de la UMV.</t>
  </si>
  <si>
    <t>El desconocimiento o poco interés que puedan tener los colaboradores de la entidad en el quehacer de la misma, conlleva a tener una frágil identidad corporativa. Esto puede ser causado por la falta de comunicación interna, la poca efectividad de esta o el desinteres de los trabajadores en los principios, valores, deberes, oblicaciones, entre otras cosas de la entidad.</t>
  </si>
  <si>
    <t>Baja efectividad en los procesos comunicativos internos que son los que ayudan a mantener informados a los colaboradores de la entidad.</t>
  </si>
  <si>
    <t>Débil identidad corporativa, desconocimiento de los procesos que maneja la entidad y colaboradores desinformados en las actividades y eventos que se realizan diariamente.</t>
  </si>
  <si>
    <t xml:space="preserve">
El profesional designado por la Jefe OAP aplicará dos encuestas durante la vigencia para determinar el comportamiento del consumo de los canales internos por parte de los colaboradores de la entidad y el nivel de satisfacción con estos. </t>
  </si>
  <si>
    <t xml:space="preserve">Hacer presencia semanal en las diferentes sedes de la entidad que permita un acercamiento a los colaboradores que trabajan allí para informarles sobre el que hacer de la UMV y fortalecer la agenda de temas para los canales internos, enriqueciéndolos no solo con las fuentes de la sede administrativa. </t>
  </si>
  <si>
    <t>Evidencia der las visitas y actividades realizadas en cada una de las sedes.</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</si>
  <si>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</si>
  <si>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</si>
  <si>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cuando se materilice el riesgo.</t>
  </si>
  <si>
    <t>Desinterés por parte de los colaboradores de la entidad en los procesos y canales comunicativos con las que esta cuenta.</t>
  </si>
  <si>
    <t>Poca cultura organizacional en la entidad</t>
  </si>
  <si>
    <t xml:space="preserve">El profesional designado por la Jefe OAP realizará un plan de mejora de acuerdo al análisis de los resultados de las dos encuestas aplicadas a los colaboradores durante la vigencia.  </t>
  </si>
  <si>
    <t>Establecer corresponsales encargados de poner en conocimiento de los comunicadores los temas que pueden llegar a ser noticia al interior de la entidad.</t>
  </si>
  <si>
    <t>Base de datos de corresponsales de las áreas.</t>
  </si>
  <si>
    <t>Actividades de Impacto para enfocar la atención de los colaboradores en los canales internos.</t>
  </si>
  <si>
    <t xml:space="preserve">Registro de las actividades </t>
  </si>
  <si>
    <t>Falta de documentación que dé cumplimiento a los lineamientos de MINTIC, Alta Consejería de TIC distrital, la UMV y otras entidades  reguladoras referentes a los habilitadores de seguridad de la información, ciudadano digital y arquitectura empresarial de la política nacional de Gobierno Digital.</t>
  </si>
  <si>
    <t>Puede suceder que por modificaciones en la normatividad, lineamientos o regulación, así como por falta de actualización, se presente documentación o falte información que no cumpla con  los requisitos técnicos y normativos estipulados por los entes reguladores en materia de tecnologías de la información, generando desactualización de los procesos e  incumplimientos normativos.</t>
  </si>
  <si>
    <t>Deficiencias en la actualización normativa</t>
  </si>
  <si>
    <t>Incumplimientos normativos o de regulación</t>
  </si>
  <si>
    <t>El proceso se encuentra realizando la revisión y actualización de la documentación, con el fin de atender la políticas, lineamientos, regulaciones y demás normatividad aplicable.</t>
  </si>
  <si>
    <t>Actualizar la documentación de forma periódica.</t>
  </si>
  <si>
    <t>Documentación del proceso actualizada</t>
  </si>
  <si>
    <t>Grupo de EGTI</t>
  </si>
  <si>
    <t>Documentos actualizados</t>
  </si>
  <si>
    <t>Realizar las modificaciones según el cambio normativa</t>
  </si>
  <si>
    <t>Documentación actualizada y de forma correcta</t>
  </si>
  <si>
    <t>Cuando cambie la normativa</t>
  </si>
  <si>
    <t>Debilidad en los procedimientos de actualización de la documentación vigente</t>
  </si>
  <si>
    <t>Desactualización de los procesos</t>
  </si>
  <si>
    <t>Se cuenta con responsables definidos para la actualización documental</t>
  </si>
  <si>
    <t>Definición de responsables frente a la actualización documental.</t>
  </si>
  <si>
    <t xml:space="preserve">Acta de asignación de responsables </t>
  </si>
  <si>
    <t>Un acta de asignación de responsables</t>
  </si>
  <si>
    <t>Cuando cambie los procedimientos</t>
  </si>
  <si>
    <t>Perdida de la información consignada en el repositorio del proceso de EGTI</t>
  </si>
  <si>
    <t>Puede suceder que por un error humano de desconocimiento de la herramienta se pierda la información del proceso de Estrategia y Gobierno de TI</t>
  </si>
  <si>
    <t>Toda la información generada por el proceso de Estrategia de Gobierno de TI</t>
  </si>
  <si>
    <t>Desconocimiento de la herramienta por parte de los colaboradores.</t>
  </si>
  <si>
    <t>Perdida de la información generada por el proceso</t>
  </si>
  <si>
    <t>Realizar capacitaciones periódicas a las personas que utilizan la herramienta.</t>
  </si>
  <si>
    <t>Realizar capacitaciones sobre la herramienta</t>
  </si>
  <si>
    <t>Evidencia de las capacitaciones</t>
  </si>
  <si>
    <t>Nro. de personas capacitadas /Nro. de personas que utilizan el Repositorio</t>
  </si>
  <si>
    <t>Restaurar el ultimo back realizado</t>
  </si>
  <si>
    <t>Backup realizado</t>
  </si>
  <si>
    <t>Cuatrimestre</t>
  </si>
  <si>
    <t>Se puede presentar un error humano.</t>
  </si>
  <si>
    <t>Realizar Backups de la información de consignada en el repositorio</t>
  </si>
  <si>
    <t xml:space="preserve">Omitir los criterios técnicos para la evaluación de vías por un interés particular </t>
  </si>
  <si>
    <t xml:space="preserve">El riesgo propuesto puede suceder cuando se priorizen segmentos viales que no den cumplimiento a la metodología  establecida por la UAERMV. Lo anterior sucede cuando un funcionario pretenda incluir segmentos viales de su interes particular, como consecuencia se puede presentar una inadecuada destinación de recursos públicos, ya que se desatienden segmentos viales que fueron definidos técnicamente como prioritarios. </t>
  </si>
  <si>
    <t>N.A</t>
  </si>
  <si>
    <t>Presiones politicas que influyen en las decisiones de las directivas para favorecer intereses particulares.</t>
  </si>
  <si>
    <t xml:space="preserve"> Una inadecuada destinación de recursos públicos, ya que se desatienden segmentos viales que fueron definidos técnicamente como prioritarios. </t>
  </si>
  <si>
    <t>Existe un profesional encargado de verificar trimestralmente, que los segmentos viales priorizados tengan un IP mayor a 60, dejando registro de los resultados encontrados en la verificación. Así mismo, esta información es validada por el(la) Subdirector(a) Técnico(a) de Mejoramiento de la Malla Vial Local. En caso de que se encuentren segmentos con IP&lt; a 60 , estos segmentos serán sacados del listado de priorización.</t>
  </si>
  <si>
    <t>Aplicar el modelo de priorización en las visitas técnicas que se realicen atendiendo cualquier solicitud de intervención en la malla vial de competencia de la UAERMV.</t>
  </si>
  <si>
    <t>Base de datos SIGMA</t>
  </si>
  <si>
    <t>Profesionales que llevan a cabo las visitas técnicas.</t>
  </si>
  <si>
    <t>Continuo, es decir cada vez que se realice una visita técnica.</t>
  </si>
  <si>
    <t>Conducta inapropiada de un funcionario para obtener beneficios propios o a favor de un particular.</t>
  </si>
  <si>
    <t>Existe un profesional encargado de revisar las actas de visita técnica que se generan a traves del aplicativo sigma cada vez que se realice o actualice el diagnostico a un segmento vial, con el fin de verificar la veracidad de la información contenida en dichas actas. Así mismo, esta información es validada por el(la) Subdirector(a) Técnico(a) de Mejoramiento de la Malla Vial Local. En caso de que la información contenida en el acta de visita técnica este incompleta o no sea veraz, será devuelta al profesional responsable de la visita para el respectivo ajuste.</t>
  </si>
  <si>
    <t>Realizar la priorización de los segmentos viales utilizando la herramienta SIGMA porque dicha herramienta no permite la priorización sin que se haga la verificación correspondiente.</t>
  </si>
  <si>
    <t>Detalle de la gestión del mantenimeinto vial del SIGMA.</t>
  </si>
  <si>
    <t>Profesionales que realizan la revisión de las visitas técnicas.</t>
  </si>
  <si>
    <t>Continuo, es decir cada vez que se verifica un acta visita técnica.</t>
  </si>
  <si>
    <t>Informar sobre las fallas detectadas a la Secretaria General a traves del Proceso de Control Disciplinario Interno.</t>
  </si>
  <si>
    <t>Comunicación dirigida a la Secretaria General con la evidencia correspondiente</t>
  </si>
  <si>
    <t>Subdirector(a) Técnico(a) de Mejoramiento de la Malla Vial Local.</t>
  </si>
  <si>
    <t>Cuando se detecten irregularidades.</t>
  </si>
  <si>
    <t xml:space="preserve">Incumplimiento de la entrega de los productos y por ende de la estrategia definida en el plan de acción por fallas presentadas en el Sistema de Información Geográfica SIGMA </t>
  </si>
  <si>
    <t>Fallas en el Sistema SIGMA por falta de cobertura de la red en los sitios de diagnostico, por capacidad de almacenamiento de los equipos o por deficiencias en el script de desarrollo del sistema. Lo anterior trae como consecuencia demoras en el cargue de la información así como posibles errores en la verificación de los filtros requeridos para determinar la viabilidad de intervención de los segmentos viales.</t>
  </si>
  <si>
    <t>Falta de cobertura de la red de los operadores que suministran los datos moviles.</t>
  </si>
  <si>
    <t>Demoras en el cargue de la información así como posibles errores en la verificación de los filtros requeridos para determinar la viabilidad de intervención de los segmentos viales.</t>
  </si>
  <si>
    <t>Existe un profesional encargado de verificar e informar al grupo GIS de la UAERMV mediante correo electronico, cada vez que se presenten fallas ocurridas en el Sistema relacionadas con la cobertura de la red, con el fin de que se solucione con la mayor brevedad la situación presentada. En el caso de que la falla persista el(la) Subdirector(a) Técnico(a) de Mejoramiento de la Malla Vial Local, solicitará al grupo GIS la solución.</t>
  </si>
  <si>
    <t>Realizar  pruebas en campo con diferentes operadores proveedores de datos moviles.</t>
  </si>
  <si>
    <t>Actas de las pruebas en campo.</t>
  </si>
  <si>
    <t>Poca capacidad de la memoria y/o el procesador de los dispositivos moviles con los que se realiza la captura de información en campo.</t>
  </si>
  <si>
    <t>Existe un profesional encargado de informar al grupo GIS de la UAERMV mediante correo electronico, cada vez que se presenten fallas ocurridas por deficiencia en la capacidad de la memoria y/o del procesador del dispositivo movil. En el caso de que la falla persista el(la) Subdirector(a) Técnico(a) de Mejoramiento de la Malla Vial Local, solicitará al grupo GIS la solución.</t>
  </si>
  <si>
    <t>Descarga semestral de la información del dispositivo movil con el fin de liberar espacio en la memoria de los equipos.</t>
  </si>
  <si>
    <t>Back up de la información de los dispositivos.</t>
  </si>
  <si>
    <t>Recopilar la información de diagnostico y diligenciar manualmente las actas de visita técnica en el formato correspondiente.</t>
  </si>
  <si>
    <t>Actas de visita técnica</t>
  </si>
  <si>
    <t>Profesionales de diagnóstico</t>
  </si>
  <si>
    <t>Cuando se requiera</t>
  </si>
  <si>
    <t>Solicitar a la Secretaria General, el cambio los dispositivos moviles por unos de mayor capacidad.</t>
  </si>
  <si>
    <t>Memorando en el que se realice la solicitud respectiva.</t>
  </si>
  <si>
    <t>Perdida de la información por daños en los equipos de cómputo utilizados por cada profesional de la SMVL para el desarrollo de sus funciones y/o obligaciones.</t>
  </si>
  <si>
    <t>Daños en los equipos de computo por fallas electricas u otras causas externas que generen la perdida de la información almacenada en dichos equipos, afectando el normal desarrollo de las actividades de la SMVL</t>
  </si>
  <si>
    <t>Base de datos SIGMA -Diseños y Soportes</t>
  </si>
  <si>
    <t>Sensibilidad a la radiación electromagnética</t>
  </si>
  <si>
    <t>Perdida de la información almacenada en dichos equipos, afectando el normal desarrollo de las actividades de la SMVL</t>
  </si>
  <si>
    <t>Existe un profesional que verifica e informa a la Secretaria General el daño de los equipos de computo causado por un agente externo cuando esto ocurra. En el caso de que la falla persista el(la) Subdirector(a) Técnico(a) de Mejoramiento de la Malla Vial Local, solicitará a la Secretaria General  la solución.</t>
  </si>
  <si>
    <t>Realizar un Back up en One Drive u otro espacio en la nube de la información contenidad en los equipos de computo</t>
  </si>
  <si>
    <t xml:space="preserve">Back up   </t>
  </si>
  <si>
    <t>Existe un profesional que semestralmente realiza un seguimiento verificando el correcto uso de los equipos de computo a cargo de los profesionales de la SMVL. En el caso de que la falla persista el(la) Subdirector(a) Técnico(a) de Mejoramiento de la Malla Vial Local, solicitará a la Secretaria General  la solución.</t>
  </si>
  <si>
    <t>Solicitar a la Secretaria General mediante comunicación escrita una capacitación por parte de un profesional de Sistemas de la Entidad</t>
  </si>
  <si>
    <t>Comunicación Escrita</t>
  </si>
  <si>
    <t>1 vez al año.</t>
  </si>
  <si>
    <t>Solicitar a la Secretaria General personal especializado con el objetivo de recuperar la información.</t>
  </si>
  <si>
    <t>(# de actividades cumplidas/ # de actividades programadas) x 100</t>
  </si>
  <si>
    <t>Materiales e insumos que no cumplan especificaciones técnicas.</t>
  </si>
  <si>
    <t xml:space="preserve">Realizar sensibilizaciones o actualizaciones al personal de la Gerencia de Intervención </t>
  </si>
  <si>
    <t xml:space="preserve">Formato de registro de asistencia a la sensibilización y presentación de la misma. </t>
  </si>
  <si>
    <t>Gerente de Intrervención y profesional (es) desginado (s)</t>
  </si>
  <si>
    <t>01/02/2019 a 30/12/2019</t>
  </si>
  <si>
    <t xml:space="preserve">Convocar en forma
extraordinaria un comité
para analizar y aplicar medidas
inmediatas que permitan el aseguramiento de la calidad de las obras ejecutadas
</t>
  </si>
  <si>
    <t xml:space="preserve">Acta de reunión firmada y verificación </t>
  </si>
  <si>
    <t>Gerente de Intervención</t>
  </si>
  <si>
    <t>1 semana
una vez el
riesgo
se materialice</t>
  </si>
  <si>
    <t>No continuidad en el seguimiento y control de la ejecución de las actividades de obra</t>
  </si>
  <si>
    <t xml:space="preserve"> Realizar visita y levantar el acta de visita de obra.   </t>
  </si>
  <si>
    <t>Formato de acta visita</t>
  </si>
  <si>
    <t xml:space="preserve">Deficiencia en la operatividad de la maquinaria y equipo </t>
  </si>
  <si>
    <t>Reportar a la Gerencia de Producción el estado de operatividad de los equipos y maquinaria</t>
  </si>
  <si>
    <t>Correo electronio</t>
  </si>
  <si>
    <t>Deficiencias en la calidad de las obras ejecutadas</t>
  </si>
  <si>
    <t xml:space="preserve">Retrasos en la ejecución de la obra  </t>
  </si>
  <si>
    <t>Falta de reacción a las alertas generadas durante el seguimiento a la programación</t>
  </si>
  <si>
    <t>Imprevistos en el suministro de equipo, maquinaria e insumos</t>
  </si>
  <si>
    <t>Realizar seguimiento a las programaciones periodicas</t>
  </si>
  <si>
    <t xml:space="preserve">Archivo de Programación y Seguimiento </t>
  </si>
  <si>
    <t>Profesional designado por la Gerencia de Intervención</t>
  </si>
  <si>
    <t>Solicitar los insumos requeridos oportunamente y reportar las cantidades de insumos  por segmento vial</t>
  </si>
  <si>
    <t>Solicitudes realizadas y reportes de la hoja de vida</t>
  </si>
  <si>
    <t>Profesionales designados por la Gerencia de Intervención</t>
  </si>
  <si>
    <t xml:space="preserve">Convocar en forma
extraordinaria un comité
para analizar y aplicar medidas
inmediatas que permitan cumplir con la programación de obra
</t>
  </si>
  <si>
    <t>Incumplimiento de la normativa, procedimientos y manuales vigentes en la intervención de la malla via</t>
  </si>
  <si>
    <t xml:space="preserve">Desconocimiento en los lineamientos y procedimientos  por parte de los colaboradores. </t>
  </si>
  <si>
    <t>Multas, sanciones o demandas contra la entidad, investigaciones disciplinarias</t>
  </si>
  <si>
    <r>
      <t xml:space="preserve">El gerente GASA al iniciar la vigencia </t>
    </r>
    <r>
      <rPr>
        <b/>
        <sz val="9"/>
        <rFont val="Arial"/>
        <family val="2"/>
      </rPr>
      <t>verificara</t>
    </r>
    <r>
      <rPr>
        <sz val="9"/>
        <rFont val="Arial"/>
        <family val="2"/>
      </rPr>
      <t xml:space="preserve"> que se incorporen actividades de sensibilización sobre los procedimientos, manuales y lineamientos en materia Ambiental, Social y SSt en los planes del proceso
En el caso que se identifique ausencia de estas actividades, se solicitará el respectivo ajuste. El equipo de profesionales de la Gerencia GASA que lideran las áreas social, ambiental y SST se encargarán de adelantar las sensibilizaciones y/o socializaciones sobre los lineamientos y  procedimientos establecidos por la Gerencia GASA para el debido cumplimiento normativo.
Un profesional designado por el gerente GASA revisará semestralmente que se de cumplimiento de las sensibilizaciones y/o socializaciones mencionadas.   
En el caso que se identifique incumplimiento de los lineamientos, se suscribirá acta de compromiso con el fin de dar cumplimiento a lo establecido en el cronograma.  </t>
    </r>
  </si>
  <si>
    <t>Comités de seguimiento de las áreas social, ambiental y SST</t>
  </si>
  <si>
    <t xml:space="preserve">Formato Acta de Reunión </t>
  </si>
  <si>
    <t xml:space="preserve">Gerencia GASA </t>
  </si>
  <si>
    <t xml:space="preserve">Deficiencia en el seguimiento y control de la aplicación de los procedimientos en las intervenciones dela Entidad. </t>
  </si>
  <si>
    <r>
      <t xml:space="preserve">Los profesionales designados por el gerente GASA </t>
    </r>
    <r>
      <rPr>
        <b/>
        <sz val="9"/>
        <rFont val="Arial"/>
        <family val="2"/>
      </rPr>
      <t>revisarán</t>
    </r>
    <r>
      <rPr>
        <sz val="9"/>
        <rFont val="Arial"/>
        <family val="2"/>
      </rPr>
      <t xml:space="preserve"> semestralmente la correcta implementación de los procedimientos y el adecuado diligenciamiento de los formatos (Se escogerá una muestra aleatoria), asociados a los mismos, el gerente GASA validará que esta información sea veraz .
En el caso que se identifiquen anomalías, se procede a informar al supervisor del contrato y el líder del área respectiva para tomar las medidas correctivas necesarias. </t>
    </r>
  </si>
  <si>
    <t xml:space="preserve">Visitas de campo de los líderes para los componentes ambiental, social y SST. </t>
  </si>
  <si>
    <t xml:space="preserve">Registro Fotográfico y Acta de Reunión </t>
  </si>
  <si>
    <t>Pérdida de la integridad</t>
  </si>
  <si>
    <t>contraseñas sin protección y mecanismos de autenticación débil, pueden facilitar una modificación no autorizada, lo cual causaría la pérdida de la integridad de la base de datos</t>
  </si>
  <si>
    <t>Base de datos de segmentos terminados de la UMV</t>
  </si>
  <si>
    <t>Contraseñas sin protección</t>
  </si>
  <si>
    <t>Interrupciones de las operaciones de la Entidad por mucho tiempo y perdida de información  crítica para la Entidad que pueda ser recuperada de forma parcial e incompleta.</t>
  </si>
  <si>
    <t>Autenticación débil</t>
  </si>
  <si>
    <t>Realizar seguimiento a las alarmas generadas por las acciones de los usuarios sobre el sistema.</t>
  </si>
  <si>
    <t>Archivo seguimiento alarmas generadas</t>
  </si>
  <si>
    <t>Gerencia XXX</t>
  </si>
  <si>
    <t xml:space="preserve">Convocar en forma
extraordinaria un comité
para analizar y aplicar medidas
inmediatas que permitan conservar la integridad.
</t>
  </si>
  <si>
    <t xml:space="preserve">Acceso de personal no autorizado a equipos y redes con el fin de afectar los sistemas y su infraestructura </t>
  </si>
  <si>
    <t>Equipos de redes, servidores, firewall, control de acceso.</t>
  </si>
  <si>
    <t>Fallos en la seguridad en el control de acceso a equipos y redes.</t>
  </si>
  <si>
    <t>Manipulacion de personal no autorizado de los equipos y redes.</t>
  </si>
  <si>
    <t>Revision de los controles de acceso</t>
  </si>
  <si>
    <t>Realizar informes sobre el estado del control de acceso, restringiendolo al personal autorizado.</t>
  </si>
  <si>
    <t>Informes sobre el estado  de los controles de acceso</t>
  </si>
  <si>
    <t>Grupo Infraestructura (Profesionales deisgnados por la secretaria general)</t>
  </si>
  <si>
    <t xml:space="preserve">Numero de informes </t>
  </si>
  <si>
    <t>Restablecer los servicios en el menor tiempo posible</t>
  </si>
  <si>
    <t>Servicios activos</t>
  </si>
  <si>
    <t>Mal funcionamiento por obsolescencia de: equipos de tecnología, sistemas de información y comunicaciones</t>
  </si>
  <si>
    <t>Baja rotación de los equipos generando altos indices de antigüedad.</t>
  </si>
  <si>
    <t>Deficiencia en el control de inventario de equipos.</t>
  </si>
  <si>
    <t>Falta de contrato con proveedores.</t>
  </si>
  <si>
    <t>Informe de tiempo de uso y antigüedad  de los equipos de IT. Para verificar si es necesario la Renovacion de equipos despues de determinado tiempo de uso.</t>
  </si>
  <si>
    <t xml:space="preserve">Actualizar periodicamente los inventarios de infraestrucrura tecnologica. </t>
  </si>
  <si>
    <t>Tener contratos vigentes con los fabricantes o proveedores</t>
  </si>
  <si>
    <t>Informe de tiempo de uso y antigüedad  de los equipos de IT.</t>
  </si>
  <si>
    <t>NA</t>
  </si>
  <si>
    <t>Inventarios IT</t>
  </si>
  <si>
    <t>Un Inventario de IT</t>
  </si>
  <si>
    <t>Contratos</t>
  </si>
  <si>
    <t>Contratos vigentes</t>
  </si>
  <si>
    <t>Falta de integración de software  o equipos tecnológicos</t>
  </si>
  <si>
    <t>Debido a incompatibilidad entre los aplicativos (software) y equipos tecnológicos se pueden presentar fallas que afecten la disponibilidad de los mismos.</t>
  </si>
  <si>
    <t>Servidores, software, aplicativos.</t>
  </si>
  <si>
    <t>Falta de estudios tecnicos.</t>
  </si>
  <si>
    <t>Indisponibilidad de los servicios de IT.</t>
  </si>
  <si>
    <t>Los profesionales del proceso de gestión de servicios de infraestructura tecnológica, designados por la Secretaria General realizan los  estudios técnicos adecuados para verificar la compatibilidad de servicios de software y hardware.</t>
  </si>
  <si>
    <t>Actualizaciones no documentadas.</t>
  </si>
  <si>
    <t>Fallas constantes.</t>
  </si>
  <si>
    <t>Los profesionales del proceso de gestión de servicios de infraestructura tecnológica, designados por la Secretaria General realizan las revisiones de los datos técnicos de las actualizaciones de software  que son lanzadas por los fabricantes, antes de ser instaladas al interior de la entidad.</t>
  </si>
  <si>
    <t>Realizar estudios tecnicos adecuados para la compatibilidad de servicios de software y hardware cuando así se requiera</t>
  </si>
  <si>
    <t>Estudios tecnicos</t>
  </si>
  <si>
    <t>N. de estudios técnicos</t>
  </si>
  <si>
    <t>Revisar los datos tecnicos de las actualizaciones de software antes de instalarlas</t>
  </si>
  <si>
    <r>
      <t>Hojas tecnicas de actualizaciones</t>
    </r>
    <r>
      <rPr>
        <sz val="9"/>
        <color rgb="FFFF0000"/>
        <rFont val="Arial"/>
        <family val="2"/>
      </rPr>
      <t xml:space="preserve"> revisadas</t>
    </r>
  </si>
  <si>
    <t>Hojas tecnicas de actualizaciones</t>
  </si>
  <si>
    <t>La incursión de software malicioso o la intromisión en la red de la Entidad para el robo de información  o denegacion de servicios</t>
  </si>
  <si>
    <r>
      <t xml:space="preserve">
El virus tipo malware que se introduzca en la red </t>
    </r>
    <r>
      <rPr>
        <sz val="9"/>
        <color rgb="FFFF0000"/>
        <rFont val="Arial"/>
        <family val="2"/>
      </rPr>
      <t>a traves del internet a</t>
    </r>
    <r>
      <rPr>
        <sz val="9"/>
        <rFont val="Arial"/>
        <family val="2"/>
      </rPr>
      <t xml:space="preserve"> de equipos de computo, USB u otros medios de almacenamiento se pueden presentar problemas graves en la red de la entidad ocasionando indisponibilidad, fallas, fuga y perdida de informacion.</t>
    </r>
  </si>
  <si>
    <t>Servidores, equipos de computo.</t>
  </si>
  <si>
    <t>Deficiencia en las politicas de firewall</t>
  </si>
  <si>
    <t>Los profesionales del proceso de gestión de servicios de infraestructura tecnológica, designados por la Secretaria General, aplican las políticas de navegación en sus dispositivos de seguridad  y seguridad de la información, las cuales se encuentran formalmente documentadas y socializadas.</t>
  </si>
  <si>
    <t>Falta o fallo de los antivirus.</t>
  </si>
  <si>
    <t xml:space="preserve">Fuga de informacion </t>
  </si>
  <si>
    <t>Los profesionales del proceso de gestión de servicios de infraestructura tecnológica, designados por la Secretaria General, realiza la  instalación y actualización de los antivirus en los equipos de la entidad, en los equipos de su propiedad y aquellos bajo su custodia, para minimizar los virus que se puedan propagar por la red o en los equipos.</t>
  </si>
  <si>
    <t>Desconocimiento de los usuarios sobre seguridad de la informacion.</t>
  </si>
  <si>
    <t>Perdida de la informacion.</t>
  </si>
  <si>
    <t>Los profesionales del proceso de gestión de servicios de infraestructura tecnológica, designados por la Secretaria General, realizan socializaciones periódicas a través de medios electrónicos, reuniones,  de los temas de seguridad de la información a los usuarios de la entidad y verifica la adopción  de los mismos.</t>
  </si>
  <si>
    <t>Daño de equipos.</t>
  </si>
  <si>
    <t>Fortalacer y actualizar las politicas de navegacion en caso de requerise.</t>
  </si>
  <si>
    <t>Politicas de firewall</t>
  </si>
  <si>
    <t>Numero de políticas</t>
  </si>
  <si>
    <t>Restablecer las copias de seguridad mas recientes</t>
  </si>
  <si>
    <t>Copias de seguridad</t>
  </si>
  <si>
    <t>Grupo IT</t>
  </si>
  <si>
    <t>Cuando ocurra el evento.</t>
  </si>
  <si>
    <t>Tener instalados y actualizados los antivirus en los equipos de la entidad.</t>
  </si>
  <si>
    <t>Inventarios de antivirus, contrato vigente, bases de datos actualizadas</t>
  </si>
  <si>
    <t>SocialIzar los temas de seguridad de la informacion a los usuarios de la entidad.</t>
  </si>
  <si>
    <t>Actas, piezas publicitarias.</t>
  </si>
  <si>
    <t>Número de socializaciones realizadas / Número de socializaciones programadas</t>
  </si>
  <si>
    <t>No contar con el presupuesto necesario para cumplir con los proyecto de Infraestructura tecnológica.</t>
  </si>
  <si>
    <t>Puede suceder que por motivos externo al proceso no se cuente con los recursos para realizar las contrataciones necesarias (OPS y Adquisiciones en general) para cumplir con cada unas de las actividades de los proyecto, lo que con lleva a un incumplimiento de las metas propuestas por el proceso.</t>
  </si>
  <si>
    <t>Incremento del valor de la contratacion con base en lo presupuesto.</t>
  </si>
  <si>
    <t>No poder realizar una contratación vital</t>
  </si>
  <si>
    <t>Monitorear el mercado de las adquisiciones presupuestadas.</t>
  </si>
  <si>
    <t>FuerteFuerte</t>
  </si>
  <si>
    <t>Monitorear la contratación</t>
  </si>
  <si>
    <t>Grupo de EGTI (Profesionales deisgnados por la secretaria general)</t>
  </si>
  <si>
    <t>Seguimiento al plan de adquisiciones</t>
  </si>
  <si>
    <t>Establecer seguimiento al plan de adquisiciones referente al proyecto 1117</t>
  </si>
  <si>
    <t>Informe sobre el seguimiento de proyecto 1117</t>
  </si>
  <si>
    <t>Mensualmente</t>
  </si>
  <si>
    <t>Robo o sustracción de elementos por entes externos</t>
  </si>
  <si>
    <t>Probabilidad de robo o sustracción de elementos o bienes de propiedad de la entidad, por personas externas a la misma en las sedes, bodegas o Frentes de obra en los cuales se realiza la misionalidad de la Entidad, a causa de debilidad en las medidas de seguridad y los controles establecidos, ocasionando paradas en los trabajos de obra, detrimento financiero, trámites jurídico-administrativos, incumplimiento de metas derivadas del retraso de las obras y perdida de credibilidad de la Entidad.</t>
  </si>
  <si>
    <t>Débiles medidas de seguridad en la bodegas y los frentes de obra</t>
  </si>
  <si>
    <t>1.Retrasos, demoras y afectación de la imagen de la Entidad.
2. Denuncias y solicitud a la Compañía Aseguradora o a la Compañía de Seguridad.  
3. Detrimento patrimonial.
4. Incumplimiento de metas derivadas del retraso de las obras</t>
  </si>
  <si>
    <t>El Almacenista General Anualmente o según planeación presupuestal realiza la contratación de un paquete de seguros, en el cual se aseguran contra todo riesgo los elementos o bienes de propiedad de la Entidad, por medio de la obtención de una póliza de seguros. Mensualmente, se actualiza la póliza de seguros informando a la compañía de seguros la novedad de los nuevos elementos adquiridos y los dados de baja, para su inclusión o retiro de la póliza. En caso, que se presente una novedad (pérdida, hurto) se realiza solicitud de reclamación ante la Aseguradora para hacer efectiva la póliza.</t>
  </si>
  <si>
    <t>Permeabilidad de los controles de seguridad establecidos</t>
  </si>
  <si>
    <t xml:space="preserve">La compañía de vigilancia contratada por la Unidad debe realizar un estudio de vulnerabilidad de seguridad de las sedes y el estudio de las situaciones en que se presenten novedades, con el fin de identificar los posibles responsables y en caso de determinar su omisión, permitir realizar la reclamación de reposición de los elementos ante esta.  </t>
  </si>
  <si>
    <t>Falta de controles en las entradas y salidas de la Entidad</t>
  </si>
  <si>
    <t xml:space="preserve">La compañía de vigilancia contratada por la Unidad para asegurar la seguridad de las instalaciones, debe disponer de un circuito cerrado de televisión, con cámaras estratégicamente localizadas para que por medio de su monitoreo se controlen diariamente las entradas y salidas de los diferentes sedes o bodegas. En el monitoreo se debe conservar copia del video por dos meses para responder y realizar los estudios e investigaciones pertinentes en caso de presentarse una novedad.   </t>
  </si>
  <si>
    <t>Asegurar la contratación del programa de seguros para todos los bienes muebles e inmuebles de la Entidad y a su cargo</t>
  </si>
  <si>
    <t>Contrato de seguros vigente</t>
  </si>
  <si>
    <t>Almacenista General</t>
  </si>
  <si>
    <t>Permanente</t>
  </si>
  <si>
    <t>1 contrato vigente</t>
  </si>
  <si>
    <t>Solicitar a la compañía de vigilancia realizar el reporte o informe del caso, con la debida revisión por el circuito cerrado de televisión, de las anotaciones en las minutas y los controles en las puertas,  y en caso de ser aplicable, la activación de las pólizas que respaldan el contrato de la compañía o realizar la debida reclamación ante la Compañía Aseguradora.</t>
  </si>
  <si>
    <t>Solicitud a la aseguradora</t>
  </si>
  <si>
    <t>Asegurar la contratación de la empresa de vigilancia en la que se incluya la implementación del circuito cerrado de televisión, el monitoreo en las entregas de materiales y el control en las entradas y salidas de la Entidad.</t>
  </si>
  <si>
    <t>Contrato de vigilancia vigente</t>
  </si>
  <si>
    <t>Remitir requerimiento a la compañía de vigilancia, solicitando incrementar los controles de seguridad en la puertas de entrada y salida de la Entidad</t>
  </si>
  <si>
    <t>Solicitud a la compañía de vigilancia</t>
  </si>
  <si>
    <t>Vencimiento de elementos por obsolescencia</t>
  </si>
  <si>
    <t xml:space="preserve">Existen elementos que tienen asignada una fecha de vencimiento dentro de la cual se debe asegurar su asignación y utilización para que cumplan con su funcionalidad y las especificaciones técnicas para las cuales fue diseñado, al realizar el recibo de los elementos sin fichas técnicas, sin la especificación de la fecha de vencimiento y por ende la ubicación de los elementos sin importar este factor, puede ocasionar la pérdida de utilidad de elementos, pérdidas económicas o financieras, aglomeración de elementos vencidos en las bodegas, pérdida de espacio para el almacenamiento de otros elementos y la presentación ante el comité de inventarios del caso, para aprobar la baja de elemento por obsolescencia. </t>
  </si>
  <si>
    <t>Recepción de elementos sin fichas técnicas</t>
  </si>
  <si>
    <t xml:space="preserve">1.Pérdida de utilidad de elementos.
2.Pérdidas económicas o financieras.
3.Aglomeración de elementos vencidos en las bodegas y por ende,  pérdida de espacio para el almacenamiento de otros elementos.
4.Presentacióndel caso ante el comité de inventarios para aprobar la baja de elemento por obsolescencia. </t>
  </si>
  <si>
    <t xml:space="preserve">Para autorizar todo ingreso de los elementos, cuando se genere una adquisición, el supervisor del contrato debe remitir la documentación necesaria para solicitar la asignación de una cita para su entrega a Almacén, incluyendo el reporte de las fichas técnicas. El auxiliar Administrativo o contratista asignado revisa la documentación, genera la cita y dispone la logística necesaria para la recepción de los elementos. En caso que los documentos estén incompletos o no cumplan se informa al Supervisor para realizar la corrección del caso. </t>
  </si>
  <si>
    <t>Deficiente organización en las bodegas y en la recepción de los elementos que no permiten identificar aquellos que están prontos a vencer.</t>
  </si>
  <si>
    <t>En toda recepción o entrega de los elementos aprobada, el Auxiliar Administrativo o contratista asignado debe verificar que el proveedor descargue y ordene los elementos en el espacio asignado para la recepción de los elementos, de tal forma que los primeros en asignar sea los que tienen fecha de vencimiento más próxima y en última opción los que tienen más tiempo para vencerse. No se debe atender o autorizar el ingreso hasta tanto el proveedor no realice la correcta ubicación de los elementos, con el fin de evitar situaciones de pérdidas por vencimiento de los elementos.</t>
  </si>
  <si>
    <t>Inadecuado seguimiento y control de los períodos de vencimiento o/u obsolescencia de los elementos.</t>
  </si>
  <si>
    <t>En la asignación de elementos el Auxiliar Administrativo o Contratista asignado debe asegurarse, en caso de aplicar realizar la entregar de los elementos con fecha de vencimiento más cercana, con el fin de evitar el vencimiento de los elementos. En caso, que existan elementos próximos a vencerse y no se hayan realizado asignaciones se debe informar al Supervisor por oficio o por correo electrónico, para que tome las medidas pertinentes, por ser el encargado de la correcta utilización de los elementos y de autorizar para la disposición de los elementos.</t>
  </si>
  <si>
    <t>Asegurar que todo ingreso de elementos que se apruebe cumplan con las aprobaciones y la entrega de la documentación definida en el procedimiento Ingreso de elementos por adquisición.</t>
  </si>
  <si>
    <t>Ingreso de elementos y documentos de soporte</t>
  </si>
  <si>
    <t>(Número de ingresos aprobados/total de ingresos aprobados) x 100</t>
  </si>
  <si>
    <t xml:space="preserve">Solicitar al Supervisor del contrato realizar la adquisición de los elementos para la reposición de los obsoletos </t>
  </si>
  <si>
    <t>Ingreso de los nuevos elementos</t>
  </si>
  <si>
    <t>Utilizar bodegas de forma adecuada para el almacenamiento de los elementos, de acuerdo a las condiciones especificas de almacenaje y preservación definidas, ordenando los elementos con fecha próxima de vencimiento para ser asignado en primer instancia.</t>
  </si>
  <si>
    <t>Efectuar un programa para dar de baja los elementos obsoletos</t>
  </si>
  <si>
    <t>Programa para dar de baja</t>
  </si>
  <si>
    <t>Oficiar a los Supervisores del contrato sobre la existencia de elementos próximos a vencerse y que no registran movimientos de asignación</t>
  </si>
  <si>
    <t>Oficio o correo electrónico informando al Supervisor de la novedad</t>
  </si>
  <si>
    <t>(Número de elementos vencidos/total de elementos recibidos) x 100</t>
  </si>
  <si>
    <t>Robo o sustracción de elementos por personal de la UMV</t>
  </si>
  <si>
    <t>En ocasiones por aptitudes no integras del personal de la Entidad puede suceder la sustracción o el robo de elementos en las diferentes sedes, bodegas o puntos de obra, que pueden generar retrasos en las actividades, la aplicación de sanciones disciplinarias o penales, contribuir a generar una mala imagen de la Unidad y ocasionar problemas de convivencia entre los colaboradores.</t>
  </si>
  <si>
    <t>Corrupción</t>
  </si>
  <si>
    <t>Falta de compromiso de los colaboradores con la Entidad</t>
  </si>
  <si>
    <t>1. Pérdidas económicas
2. Aplicación de Sanciones disciplinarias o penales
3. Reclamaciones ante la aseguradora o la compañía de vigilancia 
4. Demoras o retrasos en la realización de las actividades que involucren la pérdida de elementos</t>
  </si>
  <si>
    <t>El Auxiliar Administrativo o contratista asignado al finalizar cada contrato por concepto de prestación de servicio, apoyo a la gestión o del personal de planta debe validar la devolución de los elementos que el colaborador tiene asignado, verificando contra el inventario y realizando la expedición del respectivo paz y salvo, con el fin de garantizar que el colaborador no tiene elementos a su cargo y que ya realizó la devolución de aquellos que había tenido asignados. La presentación del paz y salvo es un requisito ineludible para la pago de la última cuenta de pago del contratista o la liquidación del Servidor.</t>
  </si>
  <si>
    <t>Contratación de personal deshonesto o corrupto</t>
  </si>
  <si>
    <t xml:space="preserve">En todo proceso de contratación por prestación de servicios o apoyo a la gestión, el Abogado designado del proceso de contratación debe validar el cumplimiento en la presentación y validez de los documentos que acreditan los antecedentes de la persona a contratar, con el fin de evitar riesgos en la contratación.  En caso de la contratación de personal de planta, provisional o de libre nombramiento y remoción el Abogado del proceso de Talento Humano realiza la verificación de los antecedentes para aprobar la posesión del cargo. En caso de que los  documentos no sean presentados no se aprobará la contratación o el nombramiento del Servidor.  </t>
  </si>
  <si>
    <t>No aplicación eficiente de los controles en las entradas y/o salidas de las sedes</t>
  </si>
  <si>
    <t xml:space="preserve">En la entradas o salidas de las diferentes sedes o bodegas de la Entidad, el guarda del servicio de vigilancia permanentemente debe verificar la entrada y salida tanto de personal ajeno a la entidad, como de los contratistas o empleados, verificando la entrada y salida de equipos tecnológicos y si existen permisos para la salida de todo elemento que sea de propiedad de la entidad. Igualmente, a través del monitoreo del circuito cerrado de seguridad se valida los diferentes accesos y se conservan por dos meses los videos para permitir su consulta en caso de presentarse una novedad. En caso, de presentarse una situación de robo o sustracción, el Almacenista General debe solicitar al proveedor de seguridad realizar el estudio del caso y formular los correctivos para evitar su ocurrencia.   </t>
  </si>
  <si>
    <t>Definir como requisito la presentación del paz y salvo por el contratista o servidor público para el pago de la última cuenta del contrato o de la liquidación, respectivamente.</t>
  </si>
  <si>
    <t>Paz y salvo y los documentos soporte del pago de la Orden de pago o de la liquidación.</t>
  </si>
  <si>
    <t xml:space="preserve">Almacenista General, Técnico Operativo o Contratista designado en Gestión Financiera, Auxiliar Administrativo o Contratista designado en Talento Humano  </t>
  </si>
  <si>
    <t>Número de paz y salvo expedidos/Número de contratos prestación de servicios, apoyo a la gestión o de planta finalizados</t>
  </si>
  <si>
    <t>Solicitar a la compañía de vigilancia realizar el reporte o informe del caso, con la debida revisión por el circuito cerrado de televisión, de las anotaciones en las minutas y los controles en las puertas,  y en caso de ser aplicable, la activación de las pólizas que respaldan el contrato.</t>
  </si>
  <si>
    <t xml:space="preserve">Validar los antecedentes del nuevo personal a contratar </t>
  </si>
  <si>
    <t xml:space="preserve">Antecedentes, Contrato y documentos soportes, nombramiento. </t>
  </si>
  <si>
    <t>Abogado Contratación y/o Talento Humano</t>
  </si>
  <si>
    <t>1-(Número de contratos de prestación de servicios, apoyo a la gestión con validación de antecedentes/Número de contratos de prestación de servicios, apoyo a la gestión realizados)</t>
  </si>
  <si>
    <t>Remitir el reporte del caso a Control Interno Disciplinario para iniciar las acciones disciplinarias a que se tenga lugar</t>
  </si>
  <si>
    <t>Memorando de reporte del caso a Control Interno Disciplinario</t>
  </si>
  <si>
    <t>Contrato Empresa de vigilancia</t>
  </si>
  <si>
    <t xml:space="preserve">1 contrato vigente </t>
  </si>
  <si>
    <t>Requerimiento realizado a la compañía de vigilancia</t>
  </si>
  <si>
    <t>Contar con un póliza de seguros para la protección de los elementos de propiedad de la Entidad</t>
  </si>
  <si>
    <t>Programa de seguros</t>
  </si>
  <si>
    <t>Realizar reclamaciones pertinentes antes la Aseguradora con la que se tiene contrato del programa de seguros.</t>
  </si>
  <si>
    <t>Reclamación a la Aseguradora</t>
  </si>
  <si>
    <t>Afectación de la integridad de los datos  del Sistema de control de Inventarios por el registro incorrecto de los movimientos</t>
  </si>
  <si>
    <t xml:space="preserve">El incorrecto registro de los movimientos (traslados, puestas en servicio, reintegros) de los diferentes elementos de propiedad de la entidad por la falta de capacitación, descuido o la falta de validaciones del sistema, puede afectar el inventario general, la contabilización de los elementos, el cierre mensual y generar la necesidad de realizar ajustes y conciliaciones tanto contables como en la clasificación de los elementos  </t>
  </si>
  <si>
    <t>Registro de Movimientos Almacén</t>
  </si>
  <si>
    <t>Falta de capacitación o asesoría para definir la clasificación de los elementos y el registro de los movimientos en el respectivo sistema</t>
  </si>
  <si>
    <t>1.Registro de elementos en la clasificación que no es la indicada
2.Registro de movimientos con datos inexactos o que no corresponden a la clasificación o de errores del usuario que afectan la producción de los datos
3.Pérdida de la información o inexactitud de la información</t>
  </si>
  <si>
    <t xml:space="preserve">El Auxiliar Administrativo o Contratista designado realiza permanentemente la actualización y definición del catálogo de elementos para establecer su clasificación y las características técnicas, a fin de ser utilizado por los Contratistas asignados a cada sección del Almacén como recurso para aclarar las dudas y para capacitar al nuevo personal en la clasificación y naturaleza de los elementos. El catálogo debe ser consultado y apropiado para realizar todo registro de ingreso o movimiento de elementos en el sistema. En caso, de realizarse algún registro de ingreso o de movimientos de forma incorrecta, se debe hacer la reclasificación y la conciliación contable de la información, si así procede.      </t>
  </si>
  <si>
    <t>Falta de validaciones del sistema</t>
  </si>
  <si>
    <t xml:space="preserve">El proceso realiza validación contra el catálogo especifico cargado en cada módulo del sistema (consumo o devolutivos), evitando que se registre el ingreso o el movimiento de un elemento, en el módulo incorrecto. Además, el proceso cuenta con la contratación de un Ingeniero de sistemas para brindar soporte y mantenimiento del Sistema de Información de Si capital para los módulos de Almacén, quien realiza el seguimiento de las actividades de cierre mensual, además del desarrollo de informes o de acciones que se necesiten para mejorar la funcionalidad del sistema, por tanto en todo momento se cuenta con este soporte. En caso de presentarse fallas se debe realizar el requerimiento al Ingeniero para su revisión y ajuste. </t>
  </si>
  <si>
    <t>Insuficiencia en el aseguramiento de la base de datos</t>
  </si>
  <si>
    <t xml:space="preserve">El Administrador de la base de datos debe asegurarse que se realice el back up de la información del sistema de manera automática permanentemente por medio del servicio de Oracle del almacenamiento en la nube, para asegurar tener respaldo de la información y evitar daños. En caso de ser necesario la realización de un ajuste por pérdida de la información, se realiza una parada por soporte técnico, se desmonta la base de datos y se realiza el cargue de la última copia de seguridad a la fecha en que se registra el siniestro para restaurar la información, como soporte se registra copia del reporte de la atención del requerimiento atendido.   </t>
  </si>
  <si>
    <t>Implementar el nuevo catálogo de elementos en el sistema de información y sistematización del control administrativo</t>
  </si>
  <si>
    <t>Catálogo de elementos actualizado</t>
  </si>
  <si>
    <t>Número de elementos registrado en el catálogo/ Número de elementos en inventario</t>
  </si>
  <si>
    <t>Identificar los registros de movimientos realizados incorrectamente</t>
  </si>
  <si>
    <t>Registros incorrectos de movimientos identificados</t>
  </si>
  <si>
    <t>Asegurar el soporte técnico del sistema mediante la contratación de un Ingeniero de sistemas para el mantenimiento y soporte técnico del sistema</t>
  </si>
  <si>
    <t>Contrato de mantenimiento y soporte del sistema</t>
  </si>
  <si>
    <t>Responsable Grupo Sistemas de Información/ Secretaría General</t>
  </si>
  <si>
    <t>Realizar los ajustes correspondientes (reclasificaciones, conciliaciones, etc.)</t>
  </si>
  <si>
    <t>Documentos soportes de reclasificación o de conciliaciones</t>
  </si>
  <si>
    <t>Fortalecimiento de la seguridad en perfiles, acceso a los módulos de sistema y asegurar la realización de las copias de seguridad, para tener respaldo y evitar daños.</t>
  </si>
  <si>
    <t xml:space="preserve">Copias de seguridad </t>
  </si>
  <si>
    <t>Administrador de la base de datos y equipo de Infraestructura</t>
  </si>
  <si>
    <t xml:space="preserve">Número de incidentes del sistema Sí capital (SAE/SAI) con restauración de back up/Número de incidentes del sistema Sí capital (SAE/SAI) reportados por pérdida o inexactitud de la información </t>
  </si>
  <si>
    <t>Requerir e Implementar los ajustes técnicos para prevenir la ocurrencia de registros de movimientos incorrectos</t>
  </si>
  <si>
    <t>Requerimientos o correos solicitando los ajustes en el sistema</t>
  </si>
  <si>
    <t>Adelantar un proceso contractual sin tener la aprobación correspondiente por parte del comité de contratación o de la instancia correspondiente, si así lo requiere el Manual de Contratación vigente.</t>
  </si>
  <si>
    <t>En atención al alto volumen de contratos en periodos cortos , a la insuficiencia de personal y falta de una adecuada planeación en la contratación se puede adelantar un proceso de contración sin la aprobación del comite de Contratación o la instancia correspondiente si así lo requiere el Manual de Contratación,  lo que puede generar retrasos en la ejecución del contrato  y posibles aperturas de investigaciones disciplinarias y penales.</t>
  </si>
  <si>
    <t xml:space="preserve">Alto volumen de contratos en periodos cortos </t>
  </si>
  <si>
    <t xml:space="preserve"> 1. Retrasos en la ejecución del contrato  y posibles aperturas de investigaciones disciplinarias, penales y fiscales.
2.Afectación en la ejecución presupuestal</t>
  </si>
  <si>
    <t>El lider de  la linea de estructuración en el periodo de contingencia en la contratación, solicita el apoyo de personal de otros grupos del proceso  y/o dependencias  para la estructuración  de los procesos que se le asignen, con el fin de evitar retrasos en el proceso de  contratación.</t>
  </si>
  <si>
    <t xml:space="preserve">Insuficiencia de personal </t>
  </si>
  <si>
    <t xml:space="preserve">La Secretaria General a traves del proceso de contratación realiza una redistribución de personal de acuerdo a la contigencia en la contratación ya sea a través del traslado de personal entre las lineas del proceso de contratación o eventualmente, la contratación de personal con el fin de evitar retrasos en el proceso de  contratación. </t>
  </si>
  <si>
    <t xml:space="preserve"> Falta de una adecuada planeación en la contratación</t>
  </si>
  <si>
    <r>
      <t xml:space="preserve">El profesional designado por contratación se encarga diariamente de realizar el seguimiento al cumplimiento del Plan de Adquisiciones (PAA)  teniendo en cuenta los parametros definidos en el sistema Colombia Compra Eficiente (CCE) y el SECOP II, en caso que se identifiquen adquisiones </t>
    </r>
    <r>
      <rPr>
        <sz val="9"/>
        <color rgb="FFFF0000"/>
        <rFont val="Arial"/>
        <family val="2"/>
      </rPr>
      <t xml:space="preserve"> </t>
    </r>
    <r>
      <rPr>
        <sz val="9"/>
        <rFont val="Arial"/>
        <family val="2"/>
      </rPr>
      <t>que no esten en el Plan de Adquisiciones el área que realiza la contratación deberá solicitar  la modificación del PAA y aprobación para  ser incluido en el PAA. En caso de no ser aprobada la modificación el área solicitante deberá evaluar otra alternativa para solventar dicha necesidad.</t>
    </r>
  </si>
  <si>
    <t>Solicitar el apoyo de los abogados entre las lineas de Contratación y/o demás dependencias  para atender la contingencia en la Contratación.</t>
  </si>
  <si>
    <t>correo electrónico</t>
  </si>
  <si>
    <t xml:space="preserve">profesional designado </t>
  </si>
  <si>
    <t>permanente</t>
  </si>
  <si>
    <t>Contar con un profesional de apoyo en las dependencias para adelantar los procesos de contratación.</t>
  </si>
  <si>
    <t xml:space="preserve">contrato </t>
  </si>
  <si>
    <t>profesional designado y cada responsable del área</t>
  </si>
  <si>
    <t xml:space="preserve">Elaborar  el  plan de adquisiciones,  verificar y mantener el seguimiento de las necesidades contempladas en el plan.
</t>
  </si>
  <si>
    <t>Plan de Adquisiciones</t>
  </si>
  <si>
    <t>profesional designado</t>
  </si>
  <si>
    <t>Solicitar la inclusión  en el Plan de adquisiciones de los bienes y servicios requeridos por la entidad.</t>
  </si>
  <si>
    <t>comunicación oficial</t>
  </si>
  <si>
    <t>áreas que establecen la necesidad</t>
  </si>
  <si>
    <t>cada vez se materialice el riesgo</t>
  </si>
  <si>
    <t>Pérdida de  la información registrada en el SECOP II por mal funcionamiento o mal uso, o desconocimiento de la operación de la herramienta   por parte de los usuarios registrados en el sistema respecto a los expedientes que soportan los procesos de contratación.</t>
  </si>
  <si>
    <t>Debido al desconocimiento de la operación del  SECOP II y  a la falta de disponibilidad de la herramienta  se puede materializar la alteración de información de los expedientes electrónicos que soportan los procesos de contratación, respecto de su información física  lo que   puede generar retrasos en la ejecución del contrato  y posibles aperturas de investigaciones disciplinarias y penales.</t>
  </si>
  <si>
    <t>contrato</t>
  </si>
  <si>
    <t xml:space="preserve">Desconocimiento de la operación del SECOP II </t>
  </si>
  <si>
    <t xml:space="preserve">Demoras en la presentación de proyectos de acta liquidación por parte del supervisor o interventor  y perdida de competencia para liquidar </t>
  </si>
  <si>
    <t xml:space="preserve">El SECOP II define los perfiles de acceso a la información y  asigna  los permisos de  acuerdo al perfil de los usuarios registrados en el sistema para la gestión contractual. </t>
  </si>
  <si>
    <t xml:space="preserve"> Falta de disponibilidad de la herramienta</t>
  </si>
  <si>
    <t xml:space="preserve">El SECOP II cuenta con una guia y protocolo para actuar ante una indisponibilidad  del sistema. Los usuarios deben comunicarse a la mesa de servicio de Colombia Compra Eficiente para  informar acerca de la posible   indisponibilidad del Secop. </t>
  </si>
  <si>
    <t>No existe</t>
  </si>
  <si>
    <t>Mantener actualizada la base de datos de los usuarios (grupo de abogados y otros profesionales de la Entidad) que tienen acceso al SECOP II con sus correspondientes perfiles.</t>
  </si>
  <si>
    <t>base de datos actualizada</t>
  </si>
  <si>
    <t xml:space="preserve">Profesional designado </t>
  </si>
  <si>
    <t xml:space="preserve">Aplicar  el "protocolo de indisponibilidad del SECOP II" en el momento en el cual se presentan fallas en el sistema que interrumpan el normal desarrollo de los procesos contractuales en el SECOP II siempre y cuando dicha falla se encuentre certificada por el SECOP II.
</t>
  </si>
  <si>
    <t xml:space="preserve">certificado de indisponibilidad del SECOP II. </t>
  </si>
  <si>
    <t xml:space="preserve">Colombia Compra Eficiente </t>
  </si>
  <si>
    <t xml:space="preserve">Comunicarse con la  mesa de Servicio de Colombia Compra Eficiente, para acceder a la información sobre el manejo técnico funcional del SECOP II  </t>
  </si>
  <si>
    <t xml:space="preserve">correo electrónico </t>
  </si>
  <si>
    <t>cada vez que se materialice el riesgo</t>
  </si>
  <si>
    <t>Comunicarse con la  mesa de Servicio de Colombia Compra Eficiente, para acceder a la información sobre el manejo técnico funcional del SECOP II</t>
  </si>
  <si>
    <t>Imposibilidad de adelantar procesos de declaratoria de incumplimiento, imposición de multas o sanciones</t>
  </si>
  <si>
    <t>Debido a la falta de información oportuna por parte del supervisor o interventor,  al  deficiente seguimiento por parte del supervisor o interventor que no permite contar con los soportes necesarios para adelantar el proceso sancionatorio se puede presentar  la paralización del servicio , retrasos en las entregas y un posible detrimento patrimonial.</t>
  </si>
  <si>
    <t xml:space="preserve"> Falta de información oportuna por parte del supervisor o interventor</t>
  </si>
  <si>
    <t xml:space="preserve"> Paralización del servicio , retrasos en las entregas y un posible detrimento patrimonial.</t>
  </si>
  <si>
    <r>
      <t>El supervisor o interventor del proceso de contractual debe cumplir con el procedimiento 4</t>
    </r>
    <r>
      <rPr>
        <i/>
        <sz val="9"/>
        <rFont val="Arial"/>
        <family val="2"/>
      </rPr>
      <t>.8.Procedimiento para la imposición de multas, sanciones y declaratoria de incumplimiento</t>
    </r>
    <r>
      <rPr>
        <sz val="9"/>
        <rFont val="Arial"/>
        <family val="2"/>
      </rPr>
      <t xml:space="preserve">. definido en el Manual de Contratación  GCON- MA-001 V9. en caso de presentarse incumplimientos o demoras por parte del contratista o proveedor sobre las obligaciones contractuales.Si el supervisor no reporta dentro de los terminos establecidos el incumplimiento por parte del contratista será sujeta de la apertura del proceso disciplinario correspondiente. </t>
    </r>
  </si>
  <si>
    <t xml:space="preserve">Deficiente seguimiento por parte del supervisor o interventor que no permite contar con los soportes necesarios para adelantar el proceso sancionatorio </t>
  </si>
  <si>
    <t xml:space="preserve">El supervisor o interventor al momento de autorizar el pago debe verificar que los soportes correspondan con las actividades desarrolladas en el periodo y las establecidas contractualmente, como la entrega de los soportes correspondientes  para proceder a  elaborar el informe de autorización. Si el informe no cumple con la totalidad de los requisitos el área de Financiera no aprueba el pago y se devuelve para su ajuste respectivo.  </t>
  </si>
  <si>
    <t>Realizar una socialización a través de los medios electrónicos con que cuenta la UAERMV del Manual de Supervisión e Interventoría, con enfásis en las obligaciones de los supervisores frente a la exigencia de los cumplimientos contractuales.</t>
  </si>
  <si>
    <t xml:space="preserve">pieza informativa </t>
  </si>
  <si>
    <t xml:space="preserve"> Realizar socialización a los Supervisores de contratos sobre naturaleza de la designación, funciones, responsabilidades, obligación en el reporte de novedades y otras relacionadas.</t>
  </si>
  <si>
    <t>socialización realizada</t>
  </si>
  <si>
    <t>se elabora un plan de contigencia para subsanar el riesgo o se da inicio a la accion disciplinaria  o penal</t>
  </si>
  <si>
    <t>Adelantar las acciones tendientes para hacer efectiva la garantía de cumplimiento o la garantía a la que haya lugar si corresponde.</t>
  </si>
  <si>
    <t>supervisor e interventor o el responsable del area</t>
  </si>
  <si>
    <t xml:space="preserve">cada vez que se materialice el riesgo </t>
  </si>
  <si>
    <t>Incumplimiento de los términos legales o pactados para la liquidación de los contratos o convenios</t>
  </si>
  <si>
    <t>Debido a la sobrecarga laboral de las personas que ejercen la supervisión o interventoria , a  la falta  de control sobre el seguimiento a  la liquidación contractual y a la falta de  información en los cambios de supervisión e interventoria se puede presentar demoras en la presentación de proyectos de acta liquidación por parte del supervisor o interventor y las  demoras en la revisión de esos proyectos lo que genera perdida de competencia para la liquidación de los contratos y dificultades en el saneamiento contable de la entidad.</t>
  </si>
  <si>
    <t xml:space="preserve">Sobre carga laboral  de las personas que ejercen la supervisión o interventoria </t>
  </si>
  <si>
    <t xml:space="preserve">El Director General  designa los apoyos a la supervisión e intervententoria en los casos que sea necesario, a traves de una comunicación oficial y por solicitud de cada área de acuerdo a las obligaciones contractuales del contratista. 
</t>
  </si>
  <si>
    <t>Falta de información en los cambios de supervisión e interventoria</t>
  </si>
  <si>
    <t xml:space="preserve"> La entidad cuenta con  un manual de supervisión e interventoria en proceso de actualización acorde con los lineamientos establecidos legalmente.</t>
  </si>
  <si>
    <t xml:space="preserve">Falta  de control sobre el seguimiento a  la liquidación contractual </t>
  </si>
  <si>
    <t xml:space="preserve">El grupo poscontractual cuenta con una base de datos actualizada permanentemente por el profesional designado en relación  a la liquidación de los contratos que permite al lider de la etapa poscontractual  verificar y hacer el seguimiento de las actividades que apliquen para la liquidación de los contratos o convenios. </t>
  </si>
  <si>
    <t>Designar apoyos a la supervisión de contratos en cada dependencia</t>
  </si>
  <si>
    <t xml:space="preserve">comunicación oficial </t>
  </si>
  <si>
    <t>Secretaria General -Contratación</t>
  </si>
  <si>
    <t>Realizar socialización a los Supervisores de contratos sobre naturaleza de la designación, funciones, responsabilidades, obligación en el reporte de novedades y otras relacionadas.</t>
  </si>
  <si>
    <t>publicaciones realizadas</t>
  </si>
  <si>
    <t>Lider del grupo de la etapa poscontractual</t>
  </si>
  <si>
    <t xml:space="preserve">Mantener actualizada la base de datos  en relación  a la liquidación de los contratos </t>
  </si>
  <si>
    <t>Encargado  de la base de datos de contratos</t>
  </si>
  <si>
    <t>Inicio de las acciones disciplinarias, administrativas o legales según sea el caso y hacer efectiva la garantía de cumplimiento si es del caso</t>
  </si>
  <si>
    <t>Actuación disciplinaria</t>
  </si>
  <si>
    <t xml:space="preserve">Secretaria General </t>
  </si>
  <si>
    <t>cuando se materialice el riesgo</t>
  </si>
  <si>
    <t>Celebración indebida de contratos sin el lleno de requisitos</t>
  </si>
  <si>
    <t xml:space="preserve">Debido a la falta de revisión, control y verificación de la información y requisitos definidos en los estudios previos para la celebración de contratos, puede materializarse la suscripción de contratos sin el lleno de requisitos, pudiendose generar detrimento patrimonial, afectación en el cumplimiento de metas, investigaciones disciplinarias, penales y fiscales para la Entidad. </t>
  </si>
  <si>
    <t>Deficiencias en la revisión y control de los requisitos exigidos para la celebración de contratos</t>
  </si>
  <si>
    <t xml:space="preserve">1. Detrimento patrimonial
2. Afectación en el cumplimiento de metas 
3. Investigaciones disciplinarias, penales y fiscales para la Entidad. </t>
  </si>
  <si>
    <r>
      <t xml:space="preserve">El Comité evaluador de las ofertas en los casos que aplique o </t>
    </r>
    <r>
      <rPr>
        <sz val="9"/>
        <color rgb="FFFF0000"/>
        <rFont val="Arial"/>
        <family val="2"/>
      </rPr>
      <t xml:space="preserve">el </t>
    </r>
    <r>
      <rPr>
        <sz val="9"/>
        <rFont val="Arial"/>
        <family val="2"/>
      </rPr>
      <t>profesional designado para el desarrollo del proceso contractual en la etapa de selección, según sea el caso realiza la revisión de la documentación y requisitos definidos en los estudios previos y pliegos de condiciones, frente a los suministrados por los proveedores, y los evalúa según los criterios de cumplimiento de la oferta presentada o la documentación aportada de parte de la dependencia que genera la solicitud de contratación.</t>
    </r>
  </si>
  <si>
    <t>Falencias en los flujos de revisión y aprobación</t>
  </si>
  <si>
    <t>El proceso de contratación se encuentra estructurado de forma jerarquica, por lo cual una vez se realiza la revisión por los abogados, se surte un proceso de revisión por parte del líder del equipo procesos selectivos y de forma posterior por la Secretaría General o sus asesores, con el fin de verificar la idoneidad de los procesos contractuales.</t>
  </si>
  <si>
    <t>Revisar y actualizar los procedimientos derivados de los procesos selectivos en atención al Manual de Contratación y normatividad vigente, definiendo responsabilidades en la revisión del cumplimiento de requisitos para la celebración de contratos.</t>
  </si>
  <si>
    <t>Procedimientos actualizados</t>
  </si>
  <si>
    <t>Comité evaluador,  Abogados Contratación y Enlaces S. General, y ordenador del gasto que aplique.</t>
  </si>
  <si>
    <t>Revisar y actualizar los procedimientos derivados de los procesos selectivos en atención al Manual de Contratación y normatividad vigente, definiendo responsabilidades en la cadena de revisión y aprobación de procesos contractuales</t>
  </si>
  <si>
    <t>Dar apertura a las investigaciones disciplinarias para determinar el nivel de responsabilidad de los servidores públicos frente a la materialización del riesgo.</t>
  </si>
  <si>
    <t>(No de actividades ejecutadas/ No actividades programadas)*100</t>
  </si>
  <si>
    <t>Aplicación incorrecta de la normativa de cada una de las etapas de la gestión finaniera.</t>
  </si>
  <si>
    <t>Se pueden presentar faltas normativas en el desarrollo  de las diferentes actividades debido a las diversas interpretaciones que se puedan dar a las normas y a la falta de capacitacion sobre cambios normativos, lo cual puede ocasionar reprocesos, correcciones,  reclamaciones, sanciones de tipo legal y hallazgos fiscales para la entidad.</t>
  </si>
  <si>
    <t>Falta de capacitacion y diferentes interpretaciones sobre la normatividad vigente.</t>
  </si>
  <si>
    <t xml:space="preserve">1. Reprocesos y correcciones.
2. Necesidades de realizar anotaciones a los estados financieros por errores.
3. Sanciones de tipo disciplinario fiscal y penal.
4, Hallazgos fiscales.
5. Mala imagen institucional.
</t>
  </si>
  <si>
    <t>Los profesionales del proceso Gestión Financiera, en cada uno de los sub equipos, presupuesto, contabilidad y tesorería, realiza la validacion de la informacion de forma periodica, con el fin de identificar posibles cambios normativos y su correcta aplicación de conformidad con los lineamientos y directrices financieras, mediante la realización de mesas de trabajo a partir de las cuales se valida la aplicación de la normatividad vigente. En caso de envidenciar cambios normativos y/o diferencias en la interpretación de la aplicación de la norma, se procede a elevar consultas a los entes rectores en materia financiera o solicitar el desarrollo de capacitaciones frente a las temáticas particulares.</t>
  </si>
  <si>
    <t>Realilzar por lo menos dos mesas de trabajo que permitan consolidar la necesitades requeridas para el adecuado desarrollo de las actividades del proceso.</t>
  </si>
  <si>
    <t>Actas de reunion</t>
  </si>
  <si>
    <t xml:space="preserve">Profesional Especializado de Financiera.
</t>
  </si>
  <si>
    <t>Semestralmente</t>
  </si>
  <si>
    <t>Número de mesas de trabajo realizadas / Número de mesas de trabajo programadas</t>
  </si>
  <si>
    <t>Devolucion del tramite al punto donde se presento la inconsistencia y realización de la corrección.</t>
  </si>
  <si>
    <t>Documentacion asociada al caso.</t>
  </si>
  <si>
    <t xml:space="preserve">Profesional Especializado de Financiera
</t>
  </si>
  <si>
    <t>Fallas en el ERP (Sistema de planificacion de recursos Empresariales)  SI CAPITAL</t>
  </si>
  <si>
    <t>Se pueden presentar calculos equivocados o interrupcion de la ejecucion del  ERP (Sistema de planificacion de recursos Empresariales)  SI CAPITAL, debido a inadecuado soporte tecnico, ingreso de informacion incorrecta por parte de los usuarios, como tambien calculos inadecuados por modificacion normativa  lo cual puede ocasionar incumplimimiento o demoras en el desarrollo de los procesos.</t>
  </si>
  <si>
    <t>ERP (Sistema de planificacion de recursos Empresariales)  SI CAPITAL</t>
  </si>
  <si>
    <t>Inadecuado soporte y actualización.</t>
  </si>
  <si>
    <t xml:space="preserve">1. Reprocesos y correcciones.
2. Demoras durante el desarrollo de las actividades.
</t>
  </si>
  <si>
    <t>El proceso financieron cuenta con profesionales de soporte y actualización del ERP (Sistema de planificacion de recursos Empresariales)  SI CAPITAL, cuya responsabilidad consiste en la parametrización y actualización del sistema, así como el soporte en caso de evidenciar desviaciones. Los profesionales designados de forma permanente realizan verificación y seguimiento al adecuado funcionamiento del aplicativo, con el fin de garantizar la operabilidad del mismo. En caso de encontrar desviaciones y/o necesidades de actualización, se procede a realizar las respectivas pruebas, ajustes o parametrización correspondiente.</t>
  </si>
  <si>
    <t>Revisar de forma periodica las necesidades de ajustes requeridos para el buen funcionamiento del sistema.</t>
  </si>
  <si>
    <t>Mesa de ayuda.</t>
  </si>
  <si>
    <t>Profesional Especializado de Financiera 
Sistema de Informacion y tecnologia.</t>
  </si>
  <si>
    <t>Trimestralmente</t>
  </si>
  <si>
    <t>(No. Casos resueltos / No, casos reportados) * 100</t>
  </si>
  <si>
    <t>Reporta en mesa de ayuda como prioritario la novedad que se presente con relación a la funcionalidad del: ERP (Sistema de planificacion de recursos Empresariales)  SI CAPITAL.</t>
  </si>
  <si>
    <t>Reporte de mesa de ayuda</t>
  </si>
  <si>
    <t>Inadecuada liquidación de la nomina.</t>
  </si>
  <si>
    <t>Se puede llegar a tener inconsistencias en la liquidación de la nomina, por realizar revisiones manualmente lo cual puede ocasionar errores y reprocesos en su liquidacion.</t>
  </si>
  <si>
    <t xml:space="preserve">Sistema Interno Administracion de Personal -SIAP.
Formato de </t>
  </si>
  <si>
    <t>Ausencia de controles automatizados en el reporte de horas extras, generación de novedades, y registros de información en el aplicativo de liquidación de nómina.</t>
  </si>
  <si>
    <t>1. Liquidación inadecuada de nomina.
2. Posible retraso en el pago de la nomina.
3. Hallazgos en auditorias  internas o externas.</t>
  </si>
  <si>
    <t xml:space="preserve">El funcionario encargado de la nómina verifica en el momento de realizar la liquidación que el contenido de la nómina sea correcto de acuerdo a las novedades, deducidos y devengados, y así mismo, el profesional de apoyo realiza una verificación de la información registrada, en caso de encontrar inconsistencias en la nómina solicita  apoyo al proceso de sistemas para identificar las fallas en el sistema. </t>
  </si>
  <si>
    <t>Realizar revisión detallada por parte del personal encargado de la liquidación de la nomina.</t>
  </si>
  <si>
    <t>Registro generado por el aplicativo.</t>
  </si>
  <si>
    <t>Técnico Operativo de Talento Humano.</t>
  </si>
  <si>
    <t>mensual</t>
  </si>
  <si>
    <t>El funcionario encargado de la nómina solicta apoyo al proceso de SIT para la revisión y ajsutes de las inconsistencias encontradas sobre la liquidación de la nómina</t>
  </si>
  <si>
    <t>Actas de revisión sobre la liquidación en la nómina.</t>
  </si>
  <si>
    <t>Profesional Especializado y técnico Operativo de Talento Humano.</t>
  </si>
  <si>
    <t>Incumplimiento de requisitos minimos del Sistema de Gestion de la Seguridad y Salud en el Trabajo SG-SST.</t>
  </si>
  <si>
    <t>Se puede incurrir en el incumplimiento a la normatividad vigente en lo que se refiere al Sistema de Gestión de la Seguridad y Salud en el Trabajo SG-SST, debido a  la falta de instrumentos de Seguridad y Salud en el Trabajo,  uso inadecuado de los Elementos de Proteccion Personal EPP,  falta de articuación con otros procesos  todo el sistema, lo cual puede ocasionar sanciones para la entidad.</t>
  </si>
  <si>
    <t>Uso inadecuado de los Elementos de Protección Personal - EPP.</t>
  </si>
  <si>
    <t>1. Perdidas Humanas.
2, Perdidas materiales.
3, Perdidas económicas.
4. Afectacion de la imagen institucional.
5. Sanciones para la entidad.</t>
  </si>
  <si>
    <t>Falta de articuación del sistema con otros procesos.</t>
  </si>
  <si>
    <t>Continuar realizando las capacitaciones de acuerdo a las necesitades encontradas.</t>
  </si>
  <si>
    <t>Actas de asistencia.</t>
  </si>
  <si>
    <t>El profesional responsable de dirigir el Sistema de Gestion de la Seguridad y Salud en el Trabajo SG-SST.</t>
  </si>
  <si>
    <t>En caso de materializarse un evento se retroalimentaria al area o personal afectado sobre la falencia de información.</t>
  </si>
  <si>
    <t>Acta de reunión</t>
  </si>
  <si>
    <t>El profesional responsable de dirigir el Sistema de Gestion de la Seguridad y Salud en el Trabajo SG-SST, propiciara  de  acuerdo a las reuniones realizadas, seguimiento a los hallazgos encontrados.</t>
  </si>
  <si>
    <t>Actas de reunion e informes.</t>
  </si>
  <si>
    <t>Trimestralmente.</t>
  </si>
  <si>
    <t>Se realizaria la investigacion respectiva y se tomarian en cuenta las medidas de control.</t>
  </si>
  <si>
    <t>Informes.
Actas de reunión.</t>
  </si>
  <si>
    <t>Ausencia de ejecución del Plan Institucional de Capacitación - PIC o de Plan anual de estimulos e incentivos y demás planes del proceso Gestión del Talento Humano.</t>
  </si>
  <si>
    <t>Al desarrollarse actividades de sondeo y reuniones que permiten la programación del Plan Institucional de Capacitaciones - PIC o de Plan Anual de  Estimulos e Incentivos y demás planes del proceso, fuera de los terminos establecidos puede ocasionar el no desarrollo de los mismos, lo cual traería como consecuencia, insatisfacción, desmotivación en el personal de planta, incumplimiento de caracter normativo, nivel bajo de calidad de vida laboral.</t>
  </si>
  <si>
    <t>Inadecuada identificación de necesidades.</t>
  </si>
  <si>
    <t>1. Insatisfacción en el personal.
2. No ejecucion de los Recursos.
3. Desactualizacion normativa o de carácter general para el personal.
4. Desmotivacion en el personal.</t>
  </si>
  <si>
    <t>Se realizan por parte del Profesional Unviersitario del Proceso de Talento Humano sondeos previos a traves de reuniones con directivos de la entidad, como tambien con la Comisión de personal y comite de Bienestar e incentivos respectivamente, para identificar las necesitades que se pueden presentar para cumplir los objetivos misionales de la entidad, de forma articulada con la plataforma estratégica.</t>
  </si>
  <si>
    <t>Se realiza evaluacion  de los planes al momento de su finalización.</t>
  </si>
  <si>
    <t>Informe anual</t>
  </si>
  <si>
    <t>Profesional Unviersitario del Proceso de Talento Humano</t>
  </si>
  <si>
    <t>anual</t>
  </si>
  <si>
    <t>Pedir apoyo a cursos ofertados por institucioens educativas del sena esap o se estrucutra por gestion eldesarrollo de la actividad</t>
  </si>
  <si>
    <t>Listas de asistencia y evaluacion del desempeño.</t>
  </si>
  <si>
    <t>Cuando sea necesario</t>
  </si>
  <si>
    <t>Incumplimiento de la normativa ambiental vigente</t>
  </si>
  <si>
    <t xml:space="preserve">En las actividades diarias que realiza la entidad, existen factores como desconocimiento en los lineamientos ambientales por parte de los colaboradores, deficiencia en el seguimiento y control de los criterios ambientales en los diferentes procesos que generarian incumpliento de la normativa ambiental </t>
  </si>
  <si>
    <t>na</t>
  </si>
  <si>
    <t xml:space="preserve">Desconocimiento en los lineamientos ambientales por parte de los colaboradores, </t>
  </si>
  <si>
    <t>Multas, sanciones o cierres temporales, investigaciones disciplinarias</t>
  </si>
  <si>
    <r>
      <t xml:space="preserve">El gerente GASA al iniciar la vigencia </t>
    </r>
    <r>
      <rPr>
        <b/>
        <sz val="9"/>
        <rFont val="Arial"/>
        <family val="2"/>
      </rPr>
      <t>verificara</t>
    </r>
    <r>
      <rPr>
        <sz val="9"/>
        <rFont val="Arial"/>
        <family val="2"/>
      </rPr>
      <t xml:space="preserve"> que incorporen  actividades de sensibilización ambiental en los planes del proceso
En el caso que se identifiquen ausencia de este  se solicitará su inclusión o ajuste a la programación. </t>
    </r>
  </si>
  <si>
    <t xml:space="preserve">Deficiencia en el seguimiento y control de los criterios ambientales en los diferentes procesos </t>
  </si>
  <si>
    <r>
      <t xml:space="preserve">El profesional designado por el gerente GASA </t>
    </r>
    <r>
      <rPr>
        <b/>
        <sz val="9"/>
        <rFont val="Arial"/>
        <family val="2"/>
      </rPr>
      <t>revisara</t>
    </r>
    <r>
      <rPr>
        <sz val="9"/>
        <rFont val="Arial"/>
        <family val="2"/>
      </rPr>
      <t xml:space="preserve"> semestralmente que en la matriz de cumplimiento legal se lleve a cabo los MECANISMOS DE CUMPLIMIENTO y EVIDENCIA DE  APLICACIÓN DEL REQUISITO, el gerente GASA valida que esta información sea veraz .
En el caso que se identifiquen anomalías en el cumplimento de esta matriz  se información en el comité de gestión ambiental, donde se tomarán las acciones pertinentes. </t>
    </r>
  </si>
  <si>
    <t>Presentación de accidentes ambientales por derrames de hidrocarburos y sus derivados que afecten el suelo o el agua</t>
  </si>
  <si>
    <t>Dentro de las actividades misionales de la entidad es probable la presentación de accidentes ambientales, los cuales podrian generar impacto negativo ambiental a los recursos disponibles en la Entidad</t>
  </si>
  <si>
    <t>Falencia de información preventiva para evitar la presentación de derrames de sustancias peligrosas</t>
  </si>
  <si>
    <t>Afectación a los recursos naturales</t>
  </si>
  <si>
    <r>
      <t xml:space="preserve">El gerente GASA al iniciar la vigencia </t>
    </r>
    <r>
      <rPr>
        <b/>
        <sz val="9"/>
        <rFont val="Arial"/>
        <family val="2"/>
      </rPr>
      <t>verificara</t>
    </r>
    <r>
      <rPr>
        <sz val="9"/>
        <rFont val="Arial"/>
        <family val="2"/>
      </rPr>
      <t xml:space="preserve"> que incorporen  actividades de sensibilización prevención de derrames en los planes del proceso
En el caso que se identifiquen ausencia de este  se solicitará su inclusión o ajuste a la programación. </t>
    </r>
  </si>
  <si>
    <t>Exceso de confianza en la manipulacion de sustancias con caracteristricas de peligrosidad y la operación de elementos, en las actividades de mantenimiento de maquinaria y equipo</t>
  </si>
  <si>
    <r>
      <t xml:space="preserve">Los profesionales ambientales designados por el Gerente GASA </t>
    </r>
    <r>
      <rPr>
        <b/>
        <sz val="9"/>
        <rFont val="Arial"/>
        <family val="2"/>
      </rPr>
      <t>verificarán</t>
    </r>
    <r>
      <rPr>
        <sz val="9"/>
        <rFont val="Arial"/>
        <family val="2"/>
      </rPr>
      <t xml:space="preserve"> a través de inspección trimestral a las actividades de manejo de sustancias peligrosas con el fin de evitar que ocurran accidentes. 
En el caso de que ocurra un accidente, se activa la implementacion de instructivo de uso de kits de derrames. </t>
    </r>
  </si>
  <si>
    <t>Realizar dos (2) autoevaluaciones   al cumplimiento del PIGA y de la legislación  ambiental en  UMV de conformidad a las visitas anuales  realizadas por la SDA</t>
  </si>
  <si>
    <t>Informe de seguimiento</t>
  </si>
  <si>
    <t>Coordinador PIGA</t>
  </si>
  <si>
    <t>01/02/2019-28/02/2019
01/11/2019-28/11/2019</t>
  </si>
  <si>
    <t>No. De autoevaluaciones al cumplimiento ambiental realizadas</t>
  </si>
  <si>
    <t xml:space="preserve">Plan de mejoramiento </t>
  </si>
  <si>
    <t xml:space="preserve">Plan de mejoramiento ejecutado </t>
  </si>
  <si>
    <t xml:space="preserve">Gerente GASA </t>
  </si>
  <si>
    <t>En el momento que ocurra</t>
  </si>
  <si>
    <t>Charlas puesto a puesto en prevención de derrames y eco conducción y evaluación del conocimiento en el I semstre</t>
  </si>
  <si>
    <t>Capacitación semestral en prevención de la contaminación, eco conducción</t>
  </si>
  <si>
    <t xml:space="preserve">01/05/2019-30/05/2019
01/10/2019-30/10/2019
</t>
  </si>
  <si>
    <t>Numero de sensibilizaciones  en prevencion de la contaminación y ecoconduccion realizadas</t>
  </si>
  <si>
    <t>Atender la emergencia de acuerdo a los lineamientos establecidos</t>
  </si>
  <si>
    <t xml:space="preserve">Informe / Reporte </t>
  </si>
  <si>
    <t>Gerencia GASA
Coordinación SG-SST</t>
  </si>
  <si>
    <t>contraseñas sin protección y mecanismos de autenticación débil, pueden facilitar una modificación no autorizada en la infomación, lo cual causaría la pérdida de la integridad de la base de datos</t>
  </si>
  <si>
    <t>Base de datos de consumo de recursos y generacion de residuos y el seguimiento a los mismos para ser consolidaddos en el storm user de la SDA  y  Kuna del IDEAM</t>
  </si>
  <si>
    <t>Pérdida de la credibilidad y trazabilidad en la información y de la gestion  reportada</t>
  </si>
  <si>
    <t>El profesional desginado por el Gerente GASA, realizará de manera semestral actualización de la contraseña con la utilización de al menos ocho caracteres alfanumericos y que incluya al menos un simbolo que permita un autenticación fuerte y segura  de ingreso al equipo designado para la Gestion.</t>
  </si>
  <si>
    <t xml:space="preserve">Cambio de contraseña </t>
  </si>
  <si>
    <t xml:space="preserve">Acta de cambio de contraseña </t>
  </si>
  <si>
    <t>01/04/2019-08/04/2019
01/11/2019-08/11/2019</t>
  </si>
  <si>
    <t>No de cambios de contraseña del equipo asignado</t>
  </si>
  <si>
    <t xml:space="preserve">Acudir al  Backup realizado de manera mensual  en la nube Outlook </t>
  </si>
  <si>
    <t>Informe/ Reporte</t>
  </si>
  <si>
    <t>Gerencia GASA</t>
  </si>
  <si>
    <t>INADECUADO SEGUIMIENTO PROCESAL DE LOS EXPEDIENTES JUDICIALES</t>
  </si>
  <si>
    <t xml:space="preserve">Alegatos
Apelación  de auto 
Auto de tramite o de  sustanciación 
Fallo de primera instancia
Pruebas 
Apelación  de la sentencia 
Contestación  de Demanda. 
Demanda </t>
  </si>
  <si>
    <t>Inadecuado control de la Oficina Juridica.</t>
  </si>
  <si>
    <t xml:space="preserve">Inadecuado manejo de los procesos por el abogado a cargo. </t>
  </si>
  <si>
    <t xml:space="preserve">Corrupción interna  en el manejo del expediente judicial </t>
  </si>
  <si>
    <t xml:space="preserve">El Profesional Especializado de la OAJ  coordinara y revisara con el dependiente judicial  cada mes  la actualizacion de la base de datos de procesos  que debe coincidir con la informacion del  SIPROJ y del  expediente fisico para que se haga un control efectivo del tramite procesal de cada actuacion judicial.  </t>
  </si>
  <si>
    <t xml:space="preserve">Correos electronicos a cada abogado con lo requerimientos necesarios para la coordinación delos tres sistemas de informacion </t>
  </si>
  <si>
    <t xml:space="preserve">Dependiente Judicial contratado y Profesional Especializado del area. </t>
  </si>
  <si>
    <t>Cada trimestre del año 2019.</t>
  </si>
  <si>
    <t xml:space="preserve">Base de  Datos  por elaborar/ base de datos elaborada. </t>
  </si>
  <si>
    <t>Iniciar la
investigación
disciplinaria  y elaborar para el comité de conciliacion la ficha de accion de repeticion .</t>
  </si>
  <si>
    <t>Memorando a la Secretaria General remitiendo el caso para la investigacion a que haya lugar y la ficha  de Conciliación correspondiente.</t>
  </si>
  <si>
    <t xml:space="preserve">Abogados profesionales OAJ </t>
  </si>
  <si>
    <t>2 semanas despues de materializado el riesgo</t>
  </si>
  <si>
    <t xml:space="preserve">INAPROPIADA UNIFICACION  DE CRITERIOS EN LA EXPEDICION DE CONCEPTOS JURIDICOS </t>
  </si>
  <si>
    <t xml:space="preserve">Es necesario unificar los conceptos y criterios frente a cada tema que llega por solicitud  radicada a la Oficina Juridica, dado que la diferencia de pensamiento, formaciones academicas y  experienica pueden determinar que la misma oficina este entregando conceptos sobre el mismo tema con un criterio de resolucion diferente, por eso se hace necesario hacer una unificacion de conceptos por temas  y en caso de encontrar temas disimiles  decidirse por un criterio. </t>
  </si>
  <si>
    <t>Concepto Juridico.                                          Solicitud  de Concepto Juridico.</t>
  </si>
  <si>
    <t xml:space="preserve">Falta de un control  apropiado en cuanto alos temas tratados en el concepto </t>
  </si>
  <si>
    <t>Afectacion en el desarrollo de la Gestion Institucional  por falta de criterios unificados.</t>
  </si>
  <si>
    <t xml:space="preserve">El abogado Profesional   encargado incluira como antecedente dentro del concepto que  esta respondiendo  los criterios fijados en la unificacion de conceptos cada vez que se expida uno, con el fin de determinar la aplicación de la Unificación. </t>
  </si>
  <si>
    <t>Deficiencias en los lineamientos o parametros definidos para responder los conceptos</t>
  </si>
  <si>
    <t>Inclusion del  antecedente  conceptual  en el Concepto que se esta  proyectando</t>
  </si>
  <si>
    <t>Abogado Profesional del área</t>
  </si>
  <si>
    <t>Cada vez que se expida un concepto durante el año 2019</t>
  </si>
  <si>
    <t>Inlcusion  como antecedente en el concepto /Conceptos pendientes de expedición</t>
  </si>
  <si>
    <t>Adjuntar como anexo el nuevo concepto sobre el tema, diferente al criterio fijado anteriormente para unificar nuevamente el compilado</t>
  </si>
  <si>
    <t>Anexo nuevo</t>
  </si>
  <si>
    <t>1  semana despues de materilizado el riezgo</t>
  </si>
  <si>
    <t>PROCESOS JUDICIALES Y ADMINISTRATIVOS  TRAMITADOS SIN EL DIRECCIONAMIENTO DE LA OFICINA ASESORA JURIDICA .</t>
  </si>
  <si>
    <t xml:space="preserve">Desconocimiento de la existencia de procesos judiciales y administrativos manjedos por otros proceso dels Entidad, perdiendo el control adecuado de terminos judiciales y legales. </t>
  </si>
  <si>
    <t>Desconocimiento por parte de los demas procesos de las funciones desarrolldas por la oficina Juridica</t>
  </si>
  <si>
    <t>Ausencia del control especializado adecuado y  perdida de procesos judiciales e imposibilidad de defender a la Entidad.</t>
  </si>
  <si>
    <t xml:space="preserve">El  Abogado Profesional  dirigira un memorando a las diferentes  areas  una vez cada año, para que se remitan los temas que tengan incidencia judicial  o administrativa  advirtiendo las consecuncias negativas del no seguimiento a estos temas. </t>
  </si>
  <si>
    <t>manejo de procesos administrativos o judicales en areas diferentes a la OAJ sin que se articule con  la mencionada oficina.</t>
  </si>
  <si>
    <t>Memorando</t>
  </si>
  <si>
    <t xml:space="preserve">Una  vez  en el año 2019 </t>
  </si>
  <si>
    <t>Memorando pendiente de expedir / memorando efectivamente expedido</t>
  </si>
  <si>
    <t>DOCUMENTACION INCOMPLETA EN EL EXPEDIENTE JUDICIAL</t>
  </si>
  <si>
    <t>Al no existir la informacion documental  completa en el expediente judicial carecera de confiabilidad para la toma de decisiones.</t>
  </si>
  <si>
    <t>Desconocimiento de la importancia del mantenimiento y conservación de la información generada en el expediente</t>
  </si>
  <si>
    <t xml:space="preserve">Informacion incompleta en los expediente judiciales </t>
  </si>
  <si>
    <t>El jefe de la Oficina Asesora Juridica verificara la entrega  de una copia  del   protocolo de  menejo de expedientes  judiciales   una vez cada añoa cada abogado responsable de procesos Judiciales.</t>
  </si>
  <si>
    <t xml:space="preserve">Inadecuado control por parte de la OAJ  en la organización documental en el expediente judical </t>
  </si>
  <si>
    <t xml:space="preserve">Inadecuada trazabilidad de la información del expediente </t>
  </si>
  <si>
    <t>El jefe de la Oficina Asesora Juridica verificara la entrega  de una copia  del   protocolo de  menejo de expedientes  judiciales   una vez cada año cada abogado responsable de procesos Judiciales.</t>
  </si>
  <si>
    <t>Copia del correo electronico, memorando de entrega o documental correspondiente</t>
  </si>
  <si>
    <t xml:space="preserve">Jefe de la Oficina Asesora Juridica </t>
  </si>
  <si>
    <t>Una  vez  en el año 2019</t>
  </si>
  <si>
    <t xml:space="preserve"> Prueba  de la Entrega del Protocolo de manejo de  Expedientes/ protocolo pendiente de entrega </t>
  </si>
  <si>
    <t xml:space="preserve">Plan de contingencia con el dependenite del área para traer al proceso los documentales que hagan falta </t>
  </si>
  <si>
    <t xml:space="preserve">Copia  de las actuaciones faltantes </t>
  </si>
  <si>
    <t xml:space="preserve">Dependiente Judicial  OAJ </t>
  </si>
  <si>
    <t>Fallas en el SIPROWEB al momento de hacer la calificación del contingente judicial.</t>
  </si>
  <si>
    <t>Debido de a la falta de disponibilidad de la herramienta SIPROWEB en el momento de la apertura de las fechas para la calificacion del contigente judIcial por pate de los abogados de la Entidad  se pueden presentar  errores en el cargue de información y /o falta de inclusion de la misma.</t>
  </si>
  <si>
    <t>Contestacion de la demanda</t>
  </si>
  <si>
    <t>Falla en la disponibilidad de la Herramienta  externa</t>
  </si>
  <si>
    <t>Falta de calificacion del Contingente Judicial y por lo tanto la falta de la Provision de dineros  por el área de contabilidad toda vez que no se ha podido alimentar el sistema por las fallas  ocasionadas.</t>
  </si>
  <si>
    <t>Remitir correo electronico por parte del  abogados profesionales encargado de la defensa del proceso a la Secretaria Juridica Distrital informando del fallo presentado, cada vez que ocurra la incidencia, para que habiliten la seccion de la calificacion o establezcan  alternativas de alimentacion . En caso de que no sea atendido el requerimiento oportunamente la UMV solicitara una mesa de trabajo para que establezcan las soluciones emergentes.</t>
  </si>
  <si>
    <t>Remitir un Oficio a la Secretaria Juridica Distrital  como administradores del sistema,  informando la falla en el Siprojweb con las evidencias correspondientes ( pantallazo del correo electronico remitido de  la falla presentada), para que extiendan unos dias mas la fecha de  calificación del contingente judicial o establecan alternativas de solución.</t>
  </si>
  <si>
    <t>Soporte en el sistema de correspondencia de la Entidad -ORFEO-</t>
  </si>
  <si>
    <t xml:space="preserve">Cada vez que ocurra la incidencia </t>
  </si>
  <si>
    <t>Falla en el sistema al ingresar la informacion / aviso oportuno enviado (correo y/o oficio)</t>
  </si>
  <si>
    <t xml:space="preserve">Solicitud de una mesa de trabajo con la Secretaria Juridica Distrital </t>
  </si>
  <si>
    <t xml:space="preserve">Oficio solicitando la mesa de trabajo </t>
  </si>
  <si>
    <t xml:space="preserve">Abogados Profesionales encargado del defensa del proceso </t>
  </si>
  <si>
    <t>Incumplir las fechas establecidas para la presentación  de informes de control, seguimiento y evaluación, tanto internos como  externos.</t>
  </si>
  <si>
    <t>Informes</t>
  </si>
  <si>
    <t xml:space="preserve">Falta de capacitación o experticia del equipo de control interno, para generar informes ejecutivos </t>
  </si>
  <si>
    <t>Demora de la entrega de informes  por la falta de programación para la ejecución de actividades, sin tener en cuenta las fechas de reportes de los avances y entregables</t>
  </si>
  <si>
    <t>Inoportunidad en la entrega de información solicitada a los procesos, que conllevan a realizar informes inexactos o incompletos que no reflejan la realidad, y que su elaboración se extiende mas del plazo establecido para su presentación</t>
  </si>
  <si>
    <t xml:space="preserve">Hacer seguimiento a cada cronograma concertado </t>
  </si>
  <si>
    <t>Cronograma</t>
  </si>
  <si>
    <t>Equipo OCI</t>
  </si>
  <si>
    <t>Mensual</t>
  </si>
  <si>
    <t xml:space="preserve">12 REUNIONES DE SEGUIMIENTO EN EL AÑO 
</t>
  </si>
  <si>
    <t xml:space="preserve">Priorizar los informes de ley sobre los internos y solicitar plazo para la presentación </t>
  </si>
  <si>
    <t>Comunicación Oficial</t>
  </si>
  <si>
    <t>Jefe OCI</t>
  </si>
  <si>
    <t>Una vez se materialice el riesgo</t>
  </si>
  <si>
    <t>Registrar los avances mensuales del equipo OCI para hacer el cumplimiento de las actividades programadas</t>
  </si>
  <si>
    <t>* Plan de Acción con seguimiento mensual de actividades programadas
* PAA - Plan Anual de Auditorías con seguimiento trimestral de actividades aprobadas por el  Comité CICCI</t>
  </si>
  <si>
    <t>Convocar reuniones mensuales  y extrarodinarias del equipo OCI para revisar los avances de los informes</t>
  </si>
  <si>
    <t>* Acta de Reunión de asistencia  mensual y/o extraordinaria</t>
  </si>
  <si>
    <t xml:space="preserve">Incumplir en un 10% la ejecución del Plan Anual de Auditorias aprobado por el Comité Institucional de Control Interno - CICCI,  en la vigencia </t>
  </si>
  <si>
    <t>Falta de recursos para la contratación de personal que apoye la dependencia en la ejecución del Plan Anual de Auditorías</t>
  </si>
  <si>
    <t xml:space="preserve">Ejecución de actividades  no contempladas inicialmente en el Plan Anual de Auditorías que afectan el cronograma inicial </t>
  </si>
  <si>
    <t>Realizar Comité Institucional de Control Interno (CICCI) para aprobar recursos para la contratación de personal de la oficina y cumplir con el PAA</t>
  </si>
  <si>
    <t>Consolidar el resultado del indicador EJECUCIÓN DEL PLAN ANUAL DE AUDITORÍAS y analizar el resultado con el Equipo OCI</t>
  </si>
  <si>
    <t>* Acta de Reunión del Comité CICCI</t>
  </si>
  <si>
    <t>CONTRATOS DE PRESTACIÓN DE SERVICIOS SUSCRITOS PARA APOYAR LA GESTIÓN DE OCI</t>
  </si>
  <si>
    <t xml:space="preserve">
Formular un plan de contingencia y solicitar autorización ante el Comité Institucional de Control Interno para ajustar el Programa Anual de Auditorías según análisis previamente elaborado y justificado por la Oficina de Control Interno.</t>
  </si>
  <si>
    <t>Acta de Reunión del Comité CICCI</t>
  </si>
  <si>
    <t xml:space="preserve">Antes de llegar al 10% de incumplimiento </t>
  </si>
  <si>
    <t>* Acta de Reunión con el Equipo OCI</t>
  </si>
  <si>
    <t xml:space="preserve">EJECUCION DEL PLAN ANUAL DE AUDITORÍAS
</t>
  </si>
  <si>
    <t>Pérdida o fuga de la información generada por la OCI</t>
  </si>
  <si>
    <t>Infomes</t>
  </si>
  <si>
    <t>Falta de conocimiento sobre las políticas de seguridad de la información</t>
  </si>
  <si>
    <t>No realizar copias de seguridad de la información generada por la OCI, ni aplicar la TRD correspondiente</t>
  </si>
  <si>
    <t>Convocar reuniones mensuales  y extrarodinarias del equipo OCI para revisar que la información generada,  se encuentre respaldada por una copia de seguridad.</t>
  </si>
  <si>
    <r>
      <t>Solicitar a Sistemas de la Secretaría General,  la Recuperación de la información generada por la OCI, a través de los Backups o copias de seguridad que el proceso haya realizado de  conformidad con el procedimiento "SIT-PR-001-V4 Generación de Backups", y en cumplimiento de la política: "</t>
    </r>
    <r>
      <rPr>
        <i/>
        <sz val="9"/>
        <rFont val="Arial"/>
        <family val="2"/>
      </rPr>
      <t>6.23 Es responsabilidad del administrador de copias informar la disponibilidad de los respaldos, realizar el trámite para obtener los medios magnéticos, ejecutar el procedimiento de recuperación e informar los resultados"</t>
    </r>
    <r>
      <rPr>
        <sz val="9"/>
        <rFont val="Arial"/>
        <family val="2"/>
      </rPr>
      <t>.</t>
    </r>
  </si>
  <si>
    <t xml:space="preserve">Comunicación Oficial </t>
  </si>
  <si>
    <r>
      <t>Solicitar a Sistemas (Secretaría General) de la entidad la creación de una carpeta compartida propia de la dependencia para el manejo de TRD de la información OCI, en cumplimiento de la "Política de seguridad de protección y respaldo de información (GSIT-DI-001-V1)" descrita en el numeral 6.1.4.: "</t>
    </r>
    <r>
      <rPr>
        <i/>
        <sz val="8"/>
        <rFont val="Arial"/>
        <family val="2"/>
      </rPr>
      <t>para la gestión de archivos compartidos de los usuarios, se deben crear carpetas compartidas</t>
    </r>
    <r>
      <rPr>
        <i/>
        <u/>
        <sz val="8"/>
        <rFont val="Arial"/>
        <family val="2"/>
      </rPr>
      <t xml:space="preserve"> para cada una de las dependencias </t>
    </r>
    <r>
      <rPr>
        <i/>
        <sz val="8"/>
        <rFont val="Arial"/>
        <family val="2"/>
      </rPr>
      <t>de la entidad en el servidor de archivos, siguiendo una nomenclatura de tablas de retención documental generadas el área de gestión documental".</t>
    </r>
  </si>
  <si>
    <t xml:space="preserve">* Carpeta compartida OCI creada por Sistemas </t>
  </si>
  <si>
    <t>CARPETA COMPARTIDA PARA RESGUARDAR LA INFORMACIÓN GENERADA POR LA OCI</t>
  </si>
  <si>
    <t xml:space="preserve"> </t>
  </si>
  <si>
    <t>Vencimiento de los términos de la acción disciplinaria</t>
  </si>
  <si>
    <t>Debido al incumplimiento de los terminos procesales por debilidad en el seguimiento a los procesos disciplinarios, sus etapas y términos de actuación, bien sea por acción o por omisión, puede suceder que no sea posible adelantar las actuaciones disciplinarias como lo ordena la Ley, ocasionando la imposibilidad de disciplinar a los presuntos autores de conductas disciplinarias y generando investigaciones disciplinarias para los responsables de adelantar el proceso, desconfianza en la gestión del proceso, así como por el vencimiento de terminos legales, presentarse caducidad o prescripcion de la acción disciplinaria.</t>
  </si>
  <si>
    <t xml:space="preserve">Deficiencias en los controles y seguimiento a los procesos </t>
  </si>
  <si>
    <t>1. No se cumple con el objetivo del proceso de disciplinar a los presuntos autores de conductas disciplinarias.
2. Vencimiento de terminos procesales.
3. Caducidad o prescipcion de a accion disciplinaria.
4. Sanciones disciplinarias para los responsables de adelantar los procesos.</t>
  </si>
  <si>
    <t>El profesional especializado grado 222-05 de Control Interno Disciplinario cuenta con una base de datos que se alimenta permanentemente, en el que se relacionan la totalidad de los procesos disciplinarios y sus términos y etapas, con la cual hace seguimiento de cada uno de los procesos, así como el registro de los mismos en el  Sistema de Informacion Disciplinaria - SID, en los que se presentan alertas de tiempos de las actuaciones disciplinarias. En caso de evidenciarse próximos tiempos de vencimiento se genera una alerta y se dan las instrucciones para la implementación de la actuación disciplinaria.</t>
  </si>
  <si>
    <t>Omisión en la ejecución de las actuaciones disciplinarias</t>
  </si>
  <si>
    <t>La Secretaria General y el profesional especializado grado 222-05 de Control Interno Disciplinario, realizan verificación periodica de la implementación de las acciones disciplinarias mediante el desarrollo de reunioes de seguimiento.</t>
  </si>
  <si>
    <t>Verificar la confiabilidad de la base de datos y su articulación con el Sistema de Información Disciplinaria, de tal forma que guarde coherencia la información registrada, y ajustarla según corresponda.</t>
  </si>
  <si>
    <t>Base de datos</t>
  </si>
  <si>
    <t>Profesional especializado proceso CODI</t>
  </si>
  <si>
    <t>(No de procesos registrados en la base de datos con errores / total de procesos registrados de la base de datos) * 100</t>
  </si>
  <si>
    <t>Inicio de la actuación disciplinaria en contra de los responsables.</t>
  </si>
  <si>
    <t>Termino en el que caduca la acción</t>
  </si>
  <si>
    <t>Realizar seguimientos mensuales frente a la implementación de las acciones disciplinarias</t>
  </si>
  <si>
    <t>Actas de reunión</t>
  </si>
  <si>
    <t>(No de reuniones desarrolladas / No De informes de reuniones</t>
  </si>
  <si>
    <t>Perdida de informacion en la base de datos donde se lleva el seguimiento a cada proceso Disciplinario.</t>
  </si>
  <si>
    <t>Puede presentarse que al no poseer un nivel adecuado de seguridad para el acceso a la base de datos con la se hace seguimiento los procesos disciplinarios, se ocasione perdida de la información, filtración de información confidencial, modificación de información, generando una detección tardia de los términos de vencimiento de los terminos legales y/o falta de confiabilidad en la base de datos del proceso.</t>
  </si>
  <si>
    <t>Base de datos de seguimiento de los procesos Disciplinarios vigentes.</t>
  </si>
  <si>
    <t>Ausencia de seguridad de acceso a la base de datos que contiene la informacion de los procesos vigentes.</t>
  </si>
  <si>
    <t xml:space="preserve">
1.  Vencimiento de terminos procesales.
2.  Prescripcion de a accion disciplinaria.
3. Perdida de informacion
4. Filtración de información confidencial
5. Modificación de la información</t>
  </si>
  <si>
    <t>El profesional especializado de Control Interno realiza al iniciar la vigencia el aseguramiento de la base de datos del proceso con contraseñas para apertura y modificación de datos, y las cambia de forma periodica con el fin de mantener un control efectivo frente a la información consignada en la misma y la confidencialidad de los datos y registros. En caso de evidenciarse fallas en los registros de información o infiltraciones a la misma, se procede a verificar contra la información registrada en el Sistema de Información Disciplinria y restablecer copias de seguridad.</t>
  </si>
  <si>
    <t>El profesional especializado del proceso Control Disciplinario Interno, solicita de forma periodica al proceso Gestión de Servicios e Infraestructura de TI, la generación de un Back up periodico de la información contenida en la base de datos del proceso, con el fin de contar con respaldos para el restablecimiento de la información en caso de ser necesario.</t>
  </si>
  <si>
    <t>Revisar y ajustar a un nivel superior de seguridad el acceso a la base de datos</t>
  </si>
  <si>
    <t>Base de datos proceso procesos Disciplinarios</t>
  </si>
  <si>
    <t>Profesional especializado proceso CODI, con el apoyo del proceso de Informacion y tecnologÍa.</t>
  </si>
  <si>
    <t>1 base de datos con ajuste del nivel de seguridad</t>
  </si>
  <si>
    <t>Restablecer al Back Up mas reciente y actualizar según consulta con el Sistema de Información Disciplinaria.</t>
  </si>
  <si>
    <t>Back Up mas reciente y Sistema de Información Disciplinaria.</t>
  </si>
  <si>
    <t xml:space="preserve"> Programar con una periodicidad mensual un back up a la base como respaldo de la información.</t>
  </si>
  <si>
    <t>Back up base de datos</t>
  </si>
  <si>
    <t>(No. de Back ups realizados / No. De back ups programados) * 1000</t>
  </si>
  <si>
    <t>Disponibilidad insuficiente de vehículos, maquinaria, equipos y plantas industriales</t>
  </si>
  <si>
    <t>Falta de competencia del personal que opera vehículos, maquinaria, equipos y plantas industriales</t>
  </si>
  <si>
    <t>Fallas de vehículos, maquinaria, equipos y plantas industriales debido a causas no controladas por el uso.</t>
  </si>
  <si>
    <t>Falta de mantenimiento de vehículos, maquinaria, equipos y plantas industriales</t>
  </si>
  <si>
    <t>Verificacion aleatoria de tarjetas de operación, para evidenciar el correcto diligenciamiento de la misma y capacitacion a los encargados de diligenciarla.</t>
  </si>
  <si>
    <t>Acta de verificacion de archivo de T.O.  y acta de capacitacion en diligenciamiento</t>
  </si>
  <si>
    <t>Lider de ODM</t>
  </si>
  <si>
    <t>Verificacion de cumplimiento de cronograma de mantenimiento</t>
  </si>
  <si>
    <t xml:space="preserve">Acta de verificacion de cronograma de mantenimiento </t>
  </si>
  <si>
    <t>Seguimiento del plan de contratacion en mantenimiento aprobado para la gerencia de produccion.</t>
  </si>
  <si>
    <t xml:space="preserve">Acta de Reunion seguimiento plan de contratacion de mantenimiento </t>
  </si>
  <si>
    <t>apoyo a supervision contractual en seguimiento</t>
  </si>
  <si>
    <t>Gerente de produccion</t>
  </si>
  <si>
    <t>No cumplimiento oportuno de las solicitudes de mezclas e insumos para el cliente del proceso.</t>
  </si>
  <si>
    <t xml:space="preserve">No programar el material e insumos suficientes para cumplir con las solicitudes realizadas. </t>
  </si>
  <si>
    <t>Desabastecimiento de materiales por parte de los contratistas debido al aumento de demanda</t>
  </si>
  <si>
    <t>Seguimiento del plan de contratacion en mezclas e insumos para la gerencia de produccion.</t>
  </si>
  <si>
    <t xml:space="preserve">Acta de Reunion seguimiento plan de contratacion de mezclas e insumos </t>
  </si>
  <si>
    <t xml:space="preserve">Documentos desactualizados o sin seguimiento </t>
  </si>
  <si>
    <t>El uso de documentación desactualizada o insuficiente seguimiento a la gestion en la supervision contractual, origina registros incompletos,no validos o erróneos que afecta toma de decisiones para el proceso.</t>
  </si>
  <si>
    <t>Falta de seguimiento de los documentos del proceso</t>
  </si>
  <si>
    <t>Generación de registros no validos, erróneos que evita toma de decisiones para el proceso.</t>
  </si>
  <si>
    <t>Se realiza las actividades de seguimiento de los sistemas de gestión de acuerdo a las necesidades del proceso y alineados con las metas de la Entidad, incluyendo seguimiento y actualizacion de los estados contractuales tanto de proveedores y contratistas.</t>
  </si>
  <si>
    <t>No disponer a tiempo de la información de disponibilidad (capacidad productiva de la Gerencia Produccion)  necesaria para la tomas de decisiones</t>
  </si>
  <si>
    <t xml:space="preserve">no contar con informacion de la disponibilidad de los recursos, puede afectar la planeacion y la programacion, generando incumplimiento de los objetivos y las metas del proceso </t>
  </si>
  <si>
    <t>falla en el flujo de informacion sobre el cumplimiento del plan de mantenimiento de los equipos de la planta</t>
  </si>
  <si>
    <t>perdida de calidad de la informacion estrategica para la toma de decisiones</t>
  </si>
  <si>
    <t>se planea permanentemente la intervencion y mantenimiento sobre los equipos criticos de la planta se realiza mantenimiento preventivo y paradas programadas en los equipos para minimizar la falla emergente o correctiva</t>
  </si>
  <si>
    <t>Deficiente planeacion de la intervencion de los equipos de la planta</t>
  </si>
  <si>
    <t>Perdida de informacion o documentacion de soporte de los mantenimientos realizados a los equipos</t>
  </si>
  <si>
    <t>no contar con la trazabilidad del historial de mantenimientos realizados a los equipos , vehiculos o maquinaria al momento de realizar los mantenimientos o su programacion.</t>
  </si>
  <si>
    <t>archivos de mantenimiento en el aplicativo motorsystem</t>
  </si>
  <si>
    <t>Gestion manual de la informacion de entrada</t>
  </si>
  <si>
    <t>posible perdida de integridad de informacion.</t>
  </si>
  <si>
    <t>revision fisica de archivo de hoja de vida de vehiculos, maquinas y equipos</t>
  </si>
  <si>
    <t>Falta de mantenimiento al sistema</t>
  </si>
  <si>
    <t xml:space="preserve">alertas del sistema de informacion </t>
  </si>
  <si>
    <t>Uso de vehículos y maquinaria para beneficio propio</t>
  </si>
  <si>
    <t>Uso no autorizado de los vehiculos, maquinaria y equipos de manera no autorizada y para beneficio particular</t>
  </si>
  <si>
    <t>Inadecuada vigilancia y control de vehículos y maquinaria.</t>
  </si>
  <si>
    <t>Sanciones, detrimento y
Disminución de disponibilidad de  los vehículos y maquinaria.</t>
  </si>
  <si>
    <t>Vigilancia por GPS</t>
  </si>
  <si>
    <t>Perdida o hurto de materia prima y material producido.</t>
  </si>
  <si>
    <t>Apropiacion no autorizada de materiales o productos para beneficio particular</t>
  </si>
  <si>
    <t>Deficiencia en el control de insumos, materias primas, mezcla de concreto hidráulico, mezclas asfálticas en caliente y en frio.</t>
  </si>
  <si>
    <t>Detrimento patrimonial, 
incumplimiento de metas
peculado, cohecho y dolo.</t>
  </si>
  <si>
    <t>Control y seguimiento de ingreso y salida de materiales y mezclas (Bascula).</t>
  </si>
  <si>
    <t>Verificacion de controles en generacion de tickets de bascula.</t>
  </si>
  <si>
    <t>PPMQ-FM-048-V1 Formato Tiquete Manual de Entrada y Salida por Báscula.  Para corroboracion  eventual</t>
  </si>
  <si>
    <t>Lider de produccion</t>
  </si>
  <si>
    <t>semestral</t>
  </si>
  <si>
    <t xml:space="preserve">Inoportunidad en la consulta de los documentos que se encuentran en el archivo de gestión de las dependencias y sus respectivos procesos, por la  inadecuada disposición de los mismos </t>
  </si>
  <si>
    <t>En la consulta de los documentos se puede presentar innacesibilidad por pérdida, deterioro o inadecuada disposición, al no aplicar de manera oportuna el procedimiento establecido en la TRD, lo que conlleva a toma de decisiones erradas, o a las sanciones por parte de los entes de control ante la falta de evidencias.</t>
  </si>
  <si>
    <t>Inaccesibilidad por pérdida, al no poseer inventarios documentales de los archivos de gestión.</t>
  </si>
  <si>
    <t>Toma de decisiones erradas o sanciones de parte de los entes de control ante la falta de evidencia
Perdida de Información al no tener los expedientes debidamente conformados</t>
  </si>
  <si>
    <t>El funcionario del nivel asistencial designado por cada Jefe de Dependencia realizará el inventario documental de los archivos de gestión, para que estos se consoliden en la Secretaría General, quien a través del proceso de GDO validará la aplicación de la TRD.  En el caso de inadecuada aplicación se informará al Jefe de Oficina para que realice los ajustes correspondientes, mediante dos acciones el establecimiento de paz y salvos documentales y los inventarios diligenciados en el formato establecido FUID  que serán alimentados trimestralmente por parte del funcionario del nivel asistencial designado.</t>
  </si>
  <si>
    <t xml:space="preserve">Desarrollar las acciones tendientes para la aplicación de las TRD en cada una de las dependencias y procesos </t>
  </si>
  <si>
    <t xml:space="preserve">Actas de socialización y expedientes organizados de acuerdo con las TRD </t>
  </si>
  <si>
    <t xml:space="preserve">Profesionales proceso GD </t>
  </si>
  <si>
    <t xml:space="preserve">Realizar el requerimiento disciplinario correspondiente por perdida para los responsables de la información. </t>
  </si>
  <si>
    <t xml:space="preserve">Comunicación remitida </t>
  </si>
  <si>
    <t xml:space="preserve">Cuando se identifique el riesgo </t>
  </si>
  <si>
    <t>Deterioro fìsico por inadecuada manipulación o disposición de los documentos al no cumplir con las condiciones ambientales de almacenamiento.</t>
  </si>
  <si>
    <t>El profesional designado por GDOC formulará y socializará los requerimientos mínimos para el adecuado manejo de los documentos en cuanto a su manipulación y tratamiento con el fin de evitar el deterioro físico; así mismo, realizará periodicamente el monitoreo de las condiciones ambientales de almacenamiento a  través de un datalloger. Trimestralmente, el líder estratégico del proceso revisará los resultados de los monitoreos de las condiciones ambientales de almacenamiento y generará las alertas correspondientes a través de una comunicación al personal encargado del proceso. Los colaboradores del proceso deberán adelantar las acciones correspondientes.</t>
  </si>
  <si>
    <t xml:space="preserve">Implementar las acciones necesarias para el cumplimiento de los programas del SIC 
 Elaborar un informe de seguimiento a la  implementación del SIC </t>
  </si>
  <si>
    <t>Actas de socializaciòn y expedientes organizados</t>
  </si>
  <si>
    <t>Realizar el proceso correspondiente para la restauración de los documentos que presenten deterioro o perdida de información por manejo inadecuado o condiciones ambientales no optimas</t>
  </si>
  <si>
    <t xml:space="preserve">Documento restaurado </t>
  </si>
  <si>
    <t xml:space="preserve">Profesional restaurador del proceso de GD </t>
  </si>
  <si>
    <t>Incumplimiento o no aplicación del procedimiento de disposición de la TRD.</t>
  </si>
  <si>
    <t>Desintegración de los expedientes al no aplicar correctamente los procesos de gestión documental.</t>
  </si>
  <si>
    <t>El funcionario de nivel asistencial designado como responsable del archivo de gestión, será el encargado de conformar los expedientes de la dependencia y/o procesos permanentemente  y garantizar la integridad de los mismos. Los supervisores de contratos serán los responsables de allegar a GD los documentos completos para la conformación íntegra de los expedientes a cargo y no deberan mantener copia de estos en la dependencia, de acuerdo con la Circular No. 008 de 2018. La Secretaria General, a través del proceso de Gestión Documental, verificará trimestralmente la correcta creación o administración de los expedientes en el sistema de información ORFEO. En caso de identificarse inconsistencias la Secretaria General a través del proceso de Gestión Documental enviara un comunicado al Jefe de la dependencia levantando las respectivas alertas de incumplimiento.</t>
  </si>
  <si>
    <t>El profesional designado por GDOC realizará la Socialización permanentemente al personal de la Entidad en cuanto a la aplicación de los procedimientos de gestión documental y la  TRD con el fin de centralizar el archivo de gestión de la dependencia y asignar un responsable para su manejo y custodia. Trimestralmente, la Secretaria General a través del proceso de gestión documental, verificará la correcta aplicación de la TRD a través del formato único de inventarios. En caso de identificar la no conformación de los expedientes de acuerdo con lo establecido en la TRD, la Secretaria General a través del proceso de Gestión Documental enviará un comunicado al Jefe de la dependencia levantando las respectivas alertas de incumplimiento.</t>
  </si>
  <si>
    <t xml:space="preserve">Brindar el acompañamiento y soporte necesario para la aplicación de los procedimientos de Gestión Documental y las TRD </t>
  </si>
  <si>
    <t xml:space="preserve">Delegar uno o varios colaboradores  para la organización del archivo de gestión </t>
  </si>
  <si>
    <t>Archivo de gestión organizado</t>
  </si>
  <si>
    <t xml:space="preserve">Cada Dependencia </t>
  </si>
  <si>
    <t xml:space="preserve">Brindar la orientación  necesaria a los asistenciales responsables de la documentación y a los supervisores de contratos para la conformación de los expedientes  tanto en físico como en digital  </t>
  </si>
  <si>
    <t xml:space="preserve">Delegar uno o varios colaboradores para verificar la integridad de los expedientes y en dado caso completar la información que haga falta </t>
  </si>
  <si>
    <t xml:space="preserve">Expedientes completos </t>
  </si>
  <si>
    <t xml:space="preserve">Perdida de documentación y de archivos electrónicos </t>
  </si>
  <si>
    <t>En el trámite y consulta de los documentos se puede presentar innacesibilidad por pérdida, deterioro o inadecuada disposición, generada por la insuficiencia  de los repositorios para la organización, clasificación y custodia de los documentos electrónicos, ausencia o falla de las herramientas tecnológicas y la no existencia de un programa de documento electrónico y archivo en la entidad lo que dificulta la toma de decisiones oportuna y sanciones por parte de los entes de control.</t>
  </si>
  <si>
    <t>ORFEO</t>
  </si>
  <si>
    <t xml:space="preserve">Fallas en el proceso de copias de seguridad del aplicativo </t>
  </si>
  <si>
    <t xml:space="preserve">Perdida de la información digital al no contar con los repositorios necesarios </t>
  </si>
  <si>
    <t>La Secretaria General a través de los procesos de Infraestructura Tecnológica y Gestión documental se encargará de verificar trimestralmente que se estén generando las copias de seguridad del aplicativo ORFEO y donde se encuentran ubicadas. En caso de identificar inconsistencias en el proceso se debe establecer un plan de contingencia para los repositorios.</t>
  </si>
  <si>
    <t>Realizar 2 copias de seguridad del aplicativo ORFEO en la nube y en un servidor, adicional a la que tiene el sistema.</t>
  </si>
  <si>
    <t>Repositorio electrónico en la nube</t>
  </si>
  <si>
    <t xml:space="preserve">Profesional de Infraestructura Tecnologica </t>
  </si>
  <si>
    <t>Se realiza una copia de seguridad en la nube de la entidad diarimente y se realiza una copia de seguridad en otra máquina de la nube que se baja en físico a un servidor de la Entidad semanalmente a las bases de datos.
Se realiza una copia de seguridad en cintas para los archivos y PDF</t>
  </si>
  <si>
    <t xml:space="preserve">Copias de Seguridad de bases de datos en la nube 
Copias de seguridad de archivos y PDF en Cintas </t>
  </si>
  <si>
    <t xml:space="preserve">Secretaria General Proceso de Infraestructura Tecnologica </t>
  </si>
  <si>
    <t xml:space="preserve">Incumplimiento o no aplicación del procedimiento establecido para el trámite de las comunicaciones en la Entidad </t>
  </si>
  <si>
    <t>El profesional designado por el proceso de GD se encargará de socializar el procedimiento para el trámite de Comunicaciones Oficiales una vez se publique en el SISGESTIÓN, para su implementación. En caso de identificar inconsistencias en el proceso, la Secretaria General a través del proceso de GD emitira los lineamientos y acciones necesarias para el cumplimiento del procedimiento.</t>
  </si>
  <si>
    <t>Actualizar el procedimiento de conformidad con la nueva versión de ORFEO y socializarlo para su aplicación</t>
  </si>
  <si>
    <t xml:space="preserve">Procedimiento actualizado </t>
  </si>
  <si>
    <t xml:space="preserve">Emitir comunicación de obligatorio cumplimiento al procedimiento de comunicaciones y el aplicativo ORFEO </t>
  </si>
  <si>
    <t>Secretaria General Proceso de Gestión Documental</t>
  </si>
  <si>
    <t>Que los resultados de los ensayos realizados en el laboratorio sean poco confiables</t>
  </si>
  <si>
    <t>Que con los resultados de los ensayos se tomen decisiones inadecuadas en cuanto a los diseños de la estructura de pavimento, diseños de mezcla asfáltica y concreto hidráulico, control de calidad de las materias primas utilizadas para la producción de mezcla asfáltica y concreto hidráulico y los materiales que componen las diferentes capas de la estructura de pavimento, durante el proceso constructivo y para el producto terminado, por incumplimiento al procedimiento de la norma de ensayo, se pueden reportar resultados que indican que el material ensayado cumple con la especificación técnica cuando no la cumple o viceversa, lo cual con lleva a sobre dimensionar o subdimensionar los diseños de la estructura de pavimentos y diseños de mezclas, sobrecostos, incumplimiento de condiciones contractuales y reducción de la vida útil de las intervenciones.</t>
  </si>
  <si>
    <t>Incumplimiento del procedimiento de la norma de ensayo aplicable.</t>
  </si>
  <si>
    <t>Toma de decisiones inadecuadas en cuanto a los diseños de la estructura de pavimento, diseños de mezcla asfáltica y concreto hidráulico, control de calidad de las materias primas utilizadas para la producción de mezcla asfáltica y concreto hidráulico y los materiales que componen las diferentes capas de la estructura de pavimento, durante el proceso constructivo y para el producto terminado,  lo que lleva a sobre dimensionar o subdimensionar los diseños de la estructura de pavimentos y diseños de mezclas, sobrecostos, incumplimiento de condiciones contractuales y reducción de la vida útil de las intervenciones.</t>
  </si>
  <si>
    <t>El técnico operativo, quincenalmente y de manera aleatoria realiza la supervisión de los procedimientos de ensayos al personal del laboratorio con el fin de verificar que la ejecución de los ensayos se realice de acuerdo al procedimiento de la norma de ensayo y se registran en el formato de supervisión, se le da una retroalimentación a la persona evaluada y se identifica si las fallas dan lugar al procedimiento de trabajo no conforme.</t>
  </si>
  <si>
    <t>si</t>
  </si>
  <si>
    <t>* Establecer los intervalos de medición de los ensayos.
* Ensayos de repetibilidad y reproducibilidad (Inter laboratorios, intralaboratorios y participación a ensayos de aptitud), y verificar la precisión del ensayo.
* Estimación de la incertidumbre de la medición a 10 ensayos.</t>
  </si>
  <si>
    <t>Verificación de 10 métodos de ensayo</t>
  </si>
  <si>
    <t>Coordinador técnico y Líder de acreditación.</t>
  </si>
  <si>
    <t>8 Meses</t>
  </si>
  <si>
    <t>Eficacia: Índice de cumplimiento de actividades = (# de actividades cumplidas/# de actividades programadas)x 100</t>
  </si>
  <si>
    <t>De acuerdo al procedimiento de trabajo no conforme</t>
  </si>
  <si>
    <t>Plan de acción generado por la implementación del procedimiento de trabajo no conforme</t>
  </si>
  <si>
    <t>Coordinador técnico y líder de acreditación</t>
  </si>
  <si>
    <t>En caso de que se materialice el riesgo</t>
  </si>
  <si>
    <t>Uso de equipos que no cumplan las especificaciones requeridas en el método de ensayo.</t>
  </si>
  <si>
    <t>El técnico operativo, quincenalmente y de manera aleatoria realiza  la verificación del cumplimiento de las especificaciones técnica de los equipos de acuerdo al norma de ensayo por medio de la supervisión del personal, con el fin de verificar que los ensayos se realicen con los equipos adecuados y lo registra en el formato de supervisión, si el equipo se encuentra fuera de  especificaciones técnicas este se pone fuera de servicio, de acuerdo al procedimiento de uso, manipulación, mantenimiento, verificación y calibración de equipos en donde se describe  el paso a paso que se debe seguir hasta que este vuelve a quedar en uso o se reintegre a almacén para su disposición final.</t>
  </si>
  <si>
    <t>* Mantener actualizado el inventario de equipos.
* Elaborar  el cronograma de mantenimiento de equipos.
* Hacer seguimiento a la ejecución del cronograma de mantenimiento de equipos.
* control y seguimiento al uso y estado de los equipos.</t>
  </si>
  <si>
    <t>Control de los equipos de acuerdo a las especificaciones técnicas para la elaboración de ensayos</t>
  </si>
  <si>
    <t>Técnico Operativo</t>
  </si>
  <si>
    <t>Falta de competencia del recurso humano del laboratorio</t>
  </si>
  <si>
    <t>El líder estratégico del proceso para el ingreso del personal, verifica el cumplimiento de las competencias del recurso humano, de acuerdo al procedimiento de ingreso, seguimiento y egreso del personal, lo registra en el formato de verificación de competencias. En caso de encontrar alguna desviación, el líder estratégico del proceso evaluara si se puede contratar o no teniendo en cuenta si esta competencia se pude adquirir en un periodo de prueba si no se busca una persona que cumpla todos los requisitos exigidos en el perfil del cargo a desempeñar.</t>
  </si>
  <si>
    <t>* Funciones y responsabilidades del personal definidas.
* Programación mensual del personal de acuerdo a los roles.
* Autorización del personal para la elaboración de los ensayos.</t>
  </si>
  <si>
    <t>80% del personal autorizado para la elaboración de los ensayos</t>
  </si>
  <si>
    <t>Cálculos errados de acuerdo con el método de ensayo utilizado.</t>
  </si>
  <si>
    <t>El coordinador técnico del laboratorio realiza la validación de los formatos de informe de ensayo por medio de la verificación manual de los cálculos (registrada en el formato de verificación manual hojas de cálculo) cada vez que se crea, modifica o actualiza alguna celda que influya en los cálculos del resultado de ensayo. Lo anterior, con el fin de evitar errores de calculo en la entrega de resultados. En caso de encontrar alguna desviación, el coordinador procederá a corregir el formato y vuelve a realizar la validación del mismo.</t>
  </si>
  <si>
    <t>* Procedimiento de aseguramiento de los resultados.
* Validación de los formatos de informe antes de ser aprobados.</t>
  </si>
  <si>
    <t>Formatos de informes validados</t>
  </si>
  <si>
    <t>Modificar los resultados de los ensayos a cambio de recibir o solicitar cualquier dadiva o beneficio a nombre propio o de terceros.</t>
  </si>
  <si>
    <t>Que los resultados de los ensayos sean modificados, de tal manera que los materiales ensayados indiquen que cumplen con las especificaciones técnicas o los intervalos de aceptación, a causa de presiones indebidas por conflicto de intereses, carencia de controles, falta de conocimiento o experiencia, sumados a la falta de integridad, lo cual puede generar un riesgo de corrupción en el recibo de materias primas y en los resultados de desempeño de los procesos de producción e intervención, que pueden acarrear sobrecostos, incumplimiento de condiciones contractuales y reducción de la vida útil de las intervenciones.</t>
  </si>
  <si>
    <t>Presiones indebidas a causa de falta de propiedad, gobernanza  o indebida gestión de personal, recursos compartidos, contratos o intereses particulares debido a conflictos de interés por motivos familiares, laborales, comerciales, financieros o de otra índole.</t>
  </si>
  <si>
    <t>Corrupción en el recibo de materias primas y en los resultados de desempeño de los procesos de producción e intervención, que pueden acarrear sobrecostos, incumplimiento de condiciones contractuales y reducción de la vida útil de las intervenciones. Además de apertura de procesos disciplinarios, fiscales y penales, afectación del buen nombre de la entidad y favorecimiento de otras actividades de corrupción dentro del proceso y la Entidad.</t>
  </si>
  <si>
    <t>El líder estratégico del proceso para el ingreso del personal, verifica que, todo el personal del laboratorio debe firmar el formato de confidencialidad e imparcialidad, con el fin de crear la responsabilidad contractual con respecto a la imparcialidad, si por alguna razón se encuentra que una persona no a firmado el compromiso de confidencialidad e imparcialidad se le hará firmar lo antes posible.</t>
  </si>
  <si>
    <t>no</t>
  </si>
  <si>
    <t>* Capacitaciones del personal sobre la concientización de la importancia que los resultados de los ensayos se deben entregar de manera imparcial.</t>
  </si>
  <si>
    <t>Registro de capacitaciones</t>
  </si>
  <si>
    <t>6 meses</t>
  </si>
  <si>
    <t>Plan de mejoramiento del proceso</t>
  </si>
  <si>
    <t>Evidencias del plan de mejoramiento</t>
  </si>
  <si>
    <t>El personal involucrado</t>
  </si>
  <si>
    <t>Carencia de controles en el proceso de gestión del laboratorio.</t>
  </si>
  <si>
    <t>El líder estratégico del proceso para el ingreso del personal del laboratorio verifica que este no tenga  relaciones de subordinación con personal involucrado como cliente interno, con fin de evitar presiones indebidas, conflicto de interese y garantizar la independencia del proceso del laboratorio, si esto no pasa se debe modificar de tal manera que esto se cumpla.</t>
  </si>
  <si>
    <t>* Que la persona que hace los ensayos sea diferente a la que digita y revisa y diferente e la que aprueba.</t>
  </si>
  <si>
    <t>Registros de informes de ensayo</t>
  </si>
  <si>
    <t>3 meses</t>
  </si>
  <si>
    <t>Que los datos primarios de los ensayos sean modificados o se encuentren incompletos.</t>
  </si>
  <si>
    <t>Que los datos primarios de los ensayos sean modificados o estén incompletos, puede ocurrir debido que estos no estén protegidos adecuadamente, que sufran algún deterioro. Esto llevaría a que los informes de ensayo no tengan registro o estén incompletos los datos con los cuales fueron generados.</t>
  </si>
  <si>
    <t>Datos primarios de los ensayos</t>
  </si>
  <si>
    <t>Que los registros de los datos primarios no se encuentren protegidos adecuadamente (que no posean controles de temperatura, humedad y acceso).</t>
  </si>
  <si>
    <t>Esto lleva a que los informes de ensayo no tengan registro o estén incompletos los datos con los cuales fueron generados.</t>
  </si>
  <si>
    <t xml:space="preserve">El líder estratégico del proceso cada año remite el archivo físico de tal manera que se conserve en el laboratorio solo los dos últimos años, con el fin de que este sea conservado y protegido de acuerdo a los procedimientos del proceso de gestión documental. Si se identifica que se conserva en el laboratorio, archivo físico de más de dos años se generara un plan de acción que no supere mas tres meses para la entrega del mismo. </t>
  </si>
  <si>
    <t>* Que los registros de los datos primarios sean digitalizados en formato pdf mensualmente</t>
  </si>
  <si>
    <t>Archivo digital de los datos primarios</t>
  </si>
  <si>
    <t>10 meses</t>
  </si>
  <si>
    <t>El líder estratégico del proceso para el ingreso del personal y en la estructura interna del laboratorio asigna la o las personas con  la responsabilidad para llevar el archivo físico del laboratorio. Si esto no ocurre se deberán revisar las funciones y responsabilidades de todo el personal del laboratorio y se asignaran las responsabilidades de quien, como y cuando comunican los resultados del laboratorio.</t>
  </si>
  <si>
    <t>* Capacitaciones (por parte del proceso de gestión documental), al personal asignado para llevar el control y seguimiento del archivo físico del laboratorio.</t>
  </si>
  <si>
    <t>Líder de acreditación</t>
  </si>
  <si>
    <t>Que los datos primarios y/o los informes de los ensayos sean comunicados a personal no autorizado</t>
  </si>
  <si>
    <t>Que los datos primarios y/o los informes de los ensayos sean comunicados a personal no autorizado, puede ocurrir debido que estos no estén protegidos adecuadamente y/o por desconocimiento. Esto llevaría a que los datos primarios y/o los informes de los ensayos sean mal interpretados y que se pierda la confidencialidad de los resultados.</t>
  </si>
  <si>
    <t>Que los registros de los datos primarios y/o informes de ensayo no se encuentren protegidos adecuadamente (que no posean controles de acceso).</t>
  </si>
  <si>
    <t>Esto lleva a que los datos primarios y/o los informes de los ensayos sean mal interpretados y que se pierda la confidencialidad de los resultados</t>
  </si>
  <si>
    <t>El Líder estratégico del proceso para el ingreso del personal, verifica que, todo el personal del laboratorio haya firmar el formato de confidencialidad e imparcialidad, con el fin de crear la responsabilidad contractual con respecto a la confidencialidad, si por alguna razón se encuentra que una persona no a firmado el compromiso de confidencialidad e imparcialidad se le hará firmar lo antes posible.</t>
  </si>
  <si>
    <t>El Líder de acreditación cada vez que ingresa una persona gestiona los accesos otorgados para ver, modificar y crear documentos en las carpeta compartida con el fin de que cada persona tenga los permisos de acuerdo a las funciones y responsabilidades a desempeñar, si esto no pasa se solicitara la modificación de los permisos y se verificara los permisos de todo el personal a la carpeta compartida.</t>
  </si>
  <si>
    <t>* Gestionar con el proceso de sistemas de información y tecnología, un repositorio y el establecer un sistema de control para poder obtener la trazabilidad de los cambios generados en cualquier documento digital del laboratorio.</t>
  </si>
  <si>
    <t>Repositorio de la información del laboratorio</t>
  </si>
  <si>
    <t>Informes de ensayo</t>
  </si>
  <si>
    <t>Que por desconocimiento la persona informe los resultados.</t>
  </si>
  <si>
    <t>El líder estratégico del proceso para el ingreso del personal y en la estructura interna del laboratorio asigna la o las personas con  la responsabilidad y autoridad para comunicar los resultados del laboratorio. Si esto no ocurre se deberán revisar las funciones y responsabilidades de todo el personal del laboratorio y se asignaran las responsabilidades de quien, como y cuando comunican los resultados del laboratorio.</t>
  </si>
  <si>
    <t>* Gestionar cargue de resultados a través de una plataforma que asigna los permisos disponibilidad y confidencialidad de la información.</t>
  </si>
  <si>
    <t>plataforma</t>
  </si>
  <si>
    <t>Que los informes de ensayo sean modificados y/o eliminados.</t>
  </si>
  <si>
    <t>Que los informes de ensayo sean modificados y/o eliminados puede ocurrir debido que estos no estén protegidos adecuadamente. Esto llevaría a la perdida de los informes de resultados de ensayos ejecutados por el laboratorio.</t>
  </si>
  <si>
    <t>Esto lleva a la perdida de los informes de resultados de ensayos ejecutados por el laboratorio.</t>
  </si>
  <si>
    <t>El líder de acreditación cada vez que ingresa una persona gestiona los accesos otorgados para ver, modificar y crear documentos en las carpeta compartida con el fin de que cada persona tenga los permisos de acuerdo a las funciones y responsabilidades a desempeñar, si esto no pasa se solicitara la modificación de los permisos y se verificara los permisos de todo el personal a la carpeta compartida.</t>
  </si>
  <si>
    <t>El líder de acreditación solicita quincenalmente un back up de la carpeta compartida, en donde reposa toda la información digital del laboratorio, con el fin de que si se pierde o refunde la información esta corresponde a la información generada en los últimos quince días. Si esto sucede se genera un plan de acción que busque recuperar la información perdida.</t>
  </si>
  <si>
    <t>El coordinador técnico cada vez que aprueba los informes de ensayo, los libera para su envió, gestiona que estos sean convertidos a formato pdf, esta será la versión definitiva, con el fin de evitar modificaciones. Si se enviase un resultado en formato diferente a pdf esta no se considerara la versión definitiva del informe y se volverán a enviar los informes en formato pdf.</t>
  </si>
  <si>
    <t>* Después de aprobar los informes el coordinador técnico bloqueara el libro de Excel, con fin evitar que este sea modificado después de su aprobación.</t>
  </si>
  <si>
    <t>Informes de ensayo en formato Excel bloqueados</t>
  </si>
  <si>
    <t>Coordinador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</si>
</sst>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9" x14ac:knownFonts="1">
    <font>
      <sz val="11"/>
      <color theme="1"/>
      <name val="Calibri"/>
      <family val="2"/>
      <scheme val="minor"/>
    </font>
    <font>
      <sz val="11"/>
      <color theme="1"/>
      <name val="Calibri"/>
      <family val="2"/>
      <scheme val="minor"/>
    </font>
    <font>
      <u/>
      <sz val="10"/>
      <color indexed="12"/>
      <name val="Arial"/>
      <family val="2"/>
    </font>
    <font>
      <b/>
      <sz val="12"/>
      <name val="Arial"/>
      <family val="2"/>
    </font>
    <font>
      <sz val="10"/>
      <name val="Arial"/>
      <family val="2"/>
    </font>
    <font>
      <sz val="10"/>
      <color indexed="8"/>
      <name val="Arial"/>
      <family val="2"/>
    </font>
    <font>
      <b/>
      <sz val="10"/>
      <name val="Arial"/>
      <family val="2"/>
    </font>
    <font>
      <sz val="11"/>
      <name val="Arial"/>
      <family val="2"/>
    </font>
    <font>
      <u/>
      <sz val="11"/>
      <name val="Arial"/>
      <family val="2"/>
    </font>
    <font>
      <b/>
      <sz val="11"/>
      <name val="Arial"/>
      <family val="2"/>
    </font>
    <font>
      <b/>
      <sz val="14"/>
      <color theme="1"/>
      <name val="Arial"/>
      <family val="2"/>
    </font>
    <font>
      <sz val="11"/>
      <color theme="1"/>
      <name val="Arial"/>
      <family val="2"/>
    </font>
    <font>
      <sz val="12"/>
      <color rgb="FF000000"/>
      <name val="Calibri"/>
      <family val="2"/>
      <scheme val="minor"/>
    </font>
    <font>
      <b/>
      <sz val="8"/>
      <name val="Arial"/>
      <family val="2"/>
    </font>
    <font>
      <sz val="8"/>
      <name val="Arial"/>
      <family val="2"/>
    </font>
    <font>
      <sz val="8"/>
      <name val="Calibri"/>
      <family val="2"/>
      <scheme val="minor"/>
    </font>
    <font>
      <b/>
      <sz val="11"/>
      <color theme="1"/>
      <name val="Calibri"/>
      <family val="2"/>
      <scheme val="minor"/>
    </font>
    <font>
      <b/>
      <sz val="12"/>
      <color theme="1"/>
      <name val="Arial"/>
      <family val="2"/>
    </font>
    <font>
      <b/>
      <sz val="10"/>
      <color theme="1"/>
      <name val="Arial"/>
      <family val="2"/>
    </font>
    <font>
      <b/>
      <sz val="11"/>
      <color theme="1"/>
      <name val="Arial"/>
      <family val="2"/>
    </font>
    <font>
      <sz val="10"/>
      <color theme="1"/>
      <name val="Arial"/>
      <family val="2"/>
    </font>
    <font>
      <sz val="10"/>
      <color theme="9" tint="-0.499984740745262"/>
      <name val="Arial"/>
      <family val="2"/>
    </font>
    <font>
      <b/>
      <sz val="9"/>
      <name val="Arial"/>
      <family val="2"/>
    </font>
    <font>
      <b/>
      <u/>
      <sz val="11"/>
      <color theme="0"/>
      <name val="Arial"/>
      <family val="2"/>
    </font>
    <font>
      <b/>
      <sz val="14"/>
      <name val="Arial"/>
      <family val="2"/>
    </font>
    <font>
      <sz val="9"/>
      <name val="Arial"/>
      <family val="2"/>
    </font>
    <font>
      <sz val="9"/>
      <color theme="1" tint="0.249977111117893"/>
      <name val="Arial"/>
      <family val="2"/>
    </font>
    <font>
      <sz val="9"/>
      <color theme="1"/>
      <name val="Arial"/>
      <family val="2"/>
    </font>
    <font>
      <b/>
      <sz val="9"/>
      <color indexed="81"/>
      <name val="Tahoma"/>
      <family val="2"/>
    </font>
    <font>
      <sz val="9"/>
      <color indexed="81"/>
      <name val="Tahoma"/>
      <family val="2"/>
    </font>
    <font>
      <sz val="9"/>
      <name val="Arial "/>
    </font>
    <font>
      <b/>
      <sz val="9"/>
      <color theme="7" tint="-0.249977111117893"/>
      <name val="Arial"/>
      <family val="2"/>
    </font>
    <font>
      <b/>
      <sz val="9"/>
      <color theme="1"/>
      <name val="Arial"/>
      <family val="2"/>
    </font>
    <font>
      <b/>
      <sz val="9"/>
      <color rgb="FF000000"/>
      <name val="Tahoma"/>
      <family val="2"/>
    </font>
    <font>
      <sz val="9"/>
      <color rgb="FF000000"/>
      <name val="Tahoma"/>
      <family val="2"/>
    </font>
    <font>
      <sz val="9"/>
      <color rgb="FFFF0000"/>
      <name val="Arial"/>
      <family val="2"/>
    </font>
    <font>
      <i/>
      <sz val="9"/>
      <name val="Arial"/>
      <family val="2"/>
    </font>
    <font>
      <i/>
      <sz val="8"/>
      <name val="Arial"/>
      <family val="2"/>
    </font>
    <font>
      <i/>
      <u/>
      <sz val="8"/>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rgb="FF33CC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2F2F2"/>
        <bgColor indexed="64"/>
      </patternFill>
    </fill>
    <fill>
      <patternFill patternType="solid">
        <fgColor theme="1" tint="0.249977111117893"/>
        <bgColor indexed="64"/>
      </patternFill>
    </fill>
    <fill>
      <patternFill patternType="solid">
        <fgColor rgb="FFD8D8D8"/>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D9D9D9"/>
        <bgColor indexed="64"/>
      </patternFill>
    </fill>
    <fill>
      <patternFill patternType="solid">
        <fgColor rgb="FF00206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thin">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rgb="FF000000"/>
      </right>
      <top/>
      <bottom/>
      <diagonal/>
    </border>
    <border>
      <left/>
      <right style="medium">
        <color rgb="FF000000"/>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4" fillId="0" borderId="0"/>
  </cellStyleXfs>
  <cellXfs count="717">
    <xf numFmtId="0" fontId="0" fillId="0" borderId="0" xfId="0"/>
    <xf numFmtId="0" fontId="0" fillId="0" borderId="0" xfId="0" applyFont="1" applyAlignment="1">
      <alignment wrapText="1"/>
    </xf>
    <xf numFmtId="0" fontId="0" fillId="0" borderId="0" xfId="0" applyFont="1" applyAlignment="1" applyProtection="1">
      <alignment vertical="center" wrapText="1"/>
    </xf>
    <xf numFmtId="0" fontId="6" fillId="2" borderId="19" xfId="0" applyFont="1" applyFill="1" applyBorder="1" applyAlignment="1" applyProtection="1">
      <alignment horizontal="center" vertical="center" wrapText="1"/>
    </xf>
    <xf numFmtId="0" fontId="0"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 vertical="center" wrapText="1"/>
    </xf>
    <xf numFmtId="0" fontId="12" fillId="0" borderId="0" xfId="0" applyFont="1" applyAlignment="1">
      <alignment vertical="center" wrapText="1"/>
    </xf>
    <xf numFmtId="0" fontId="0" fillId="0" borderId="0" xfId="0" applyFill="1" applyAlignment="1">
      <alignment wrapText="1"/>
    </xf>
    <xf numFmtId="0" fontId="14" fillId="0" borderId="0" xfId="0" applyFont="1" applyFill="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8" xfId="0" applyFont="1" applyFill="1" applyBorder="1" applyAlignment="1" applyProtection="1">
      <alignment vertical="center" wrapText="1"/>
    </xf>
    <xf numFmtId="0" fontId="15" fillId="0" borderId="0" xfId="0" applyFont="1" applyFill="1" applyAlignment="1" applyProtection="1">
      <alignment horizontal="center" vertical="center" wrapText="1"/>
    </xf>
    <xf numFmtId="0" fontId="13"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3" fillId="3" borderId="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11" fillId="0" borderId="0" xfId="0" applyFont="1" applyAlignment="1" applyProtection="1">
      <alignment vertical="center" wrapText="1"/>
    </xf>
    <xf numFmtId="0" fontId="18" fillId="9"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Border="1" applyAlignment="1" applyProtection="1">
      <alignment horizontal="center" vertical="center" wrapText="1"/>
    </xf>
    <xf numFmtId="0" fontId="7" fillId="0" borderId="1" xfId="0" applyFont="1" applyBorder="1" applyAlignment="1" applyProtection="1">
      <alignment vertical="center" wrapText="1"/>
    </xf>
    <xf numFmtId="1" fontId="7" fillId="0" borderId="1" xfId="0" applyNumberFormat="1" applyFont="1" applyBorder="1" applyAlignment="1" applyProtection="1">
      <alignment horizontal="center" vertical="center" wrapText="1"/>
    </xf>
    <xf numFmtId="0" fontId="4" fillId="0" borderId="22" xfId="0" applyFont="1" applyFill="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7" fillId="9" borderId="29"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21" fillId="0" borderId="30" xfId="0" applyFont="1" applyFill="1" applyBorder="1" applyAlignment="1">
      <alignment horizontal="justify" vertical="center" wrapText="1"/>
    </xf>
    <xf numFmtId="0" fontId="20" fillId="0" borderId="31" xfId="0" applyFont="1" applyFill="1" applyBorder="1" applyAlignment="1">
      <alignment horizontal="justify" vertical="center" wrapText="1"/>
    </xf>
    <xf numFmtId="0" fontId="21" fillId="0" borderId="22"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20" fillId="0" borderId="32"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16" fillId="0" borderId="0" xfId="0" applyFont="1" applyAlignment="1">
      <alignment horizontal="center" vertical="center" wrapText="1"/>
    </xf>
    <xf numFmtId="0" fontId="3" fillId="7" borderId="26" xfId="0" applyFont="1" applyFill="1" applyBorder="1" applyAlignment="1">
      <alignment vertical="center" wrapText="1"/>
    </xf>
    <xf numFmtId="0" fontId="3" fillId="6" borderId="14" xfId="0" applyFont="1" applyFill="1" applyBorder="1" applyAlignment="1">
      <alignment horizontal="center" vertical="center" wrapText="1"/>
    </xf>
    <xf numFmtId="0" fontId="3" fillId="7" borderId="38" xfId="0" applyFont="1" applyFill="1" applyBorder="1" applyAlignment="1">
      <alignment vertical="center" wrapText="1"/>
    </xf>
    <xf numFmtId="0" fontId="3" fillId="7" borderId="39" xfId="0" applyFont="1" applyFill="1" applyBorder="1" applyAlignment="1">
      <alignment vertical="center" wrapText="1"/>
    </xf>
    <xf numFmtId="0" fontId="16" fillId="11" borderId="37" xfId="0" applyFont="1" applyFill="1" applyBorder="1" applyAlignment="1">
      <alignment horizontal="center" vertical="center" wrapText="1"/>
    </xf>
    <xf numFmtId="0" fontId="6" fillId="2" borderId="12" xfId="0" applyFont="1" applyFill="1" applyBorder="1" applyAlignment="1" applyProtection="1">
      <alignment horizontal="center" vertical="center" wrapText="1"/>
    </xf>
    <xf numFmtId="0" fontId="23" fillId="14" borderId="1" xfId="0" applyFont="1" applyFill="1" applyBorder="1" applyAlignment="1" applyProtection="1">
      <alignment horizontal="center" vertical="center" wrapText="1"/>
    </xf>
    <xf numFmtId="0" fontId="20" fillId="15" borderId="1" xfId="0" applyFont="1" applyFill="1" applyBorder="1" applyAlignment="1">
      <alignment horizontal="justify" vertical="center" wrapText="1"/>
    </xf>
    <xf numFmtId="0" fontId="17" fillId="9" borderId="17" xfId="0" applyFont="1" applyFill="1" applyBorder="1" applyAlignment="1">
      <alignment horizontal="center" vertical="center" wrapText="1"/>
    </xf>
    <xf numFmtId="49" fontId="4" fillId="0" borderId="3" xfId="0" applyNumberFormat="1" applyFont="1" applyBorder="1" applyAlignment="1">
      <alignment horizontal="justify" vertical="center" wrapText="1"/>
    </xf>
    <xf numFmtId="0" fontId="4" fillId="0" borderId="16" xfId="0" applyFont="1" applyFill="1" applyBorder="1" applyAlignment="1">
      <alignment horizontal="justify" vertical="center" wrapText="1"/>
    </xf>
    <xf numFmtId="0" fontId="4" fillId="0" borderId="10" xfId="0" applyFont="1" applyBorder="1" applyAlignment="1">
      <alignment horizontal="justify" vertical="center" wrapText="1"/>
    </xf>
    <xf numFmtId="0" fontId="11" fillId="0" borderId="12" xfId="0" applyFont="1" applyBorder="1" applyAlignment="1">
      <alignment vertical="center" wrapText="1"/>
    </xf>
    <xf numFmtId="0" fontId="4" fillId="0" borderId="19"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9"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6" xfId="0" applyFont="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2" xfId="0" applyFont="1" applyBorder="1" applyAlignment="1">
      <alignment horizontal="justify" vertical="center" wrapText="1"/>
    </xf>
    <xf numFmtId="0" fontId="11" fillId="0" borderId="19" xfId="0" applyFont="1" applyBorder="1" applyAlignment="1">
      <alignment vertical="center" wrapText="1"/>
    </xf>
    <xf numFmtId="0" fontId="4" fillId="0" borderId="12" xfId="0" applyFont="1" applyBorder="1" applyAlignment="1">
      <alignment horizontal="justify" vertical="center" wrapText="1"/>
    </xf>
    <xf numFmtId="0" fontId="11" fillId="0" borderId="0" xfId="0" applyFont="1" applyBorder="1" applyAlignment="1" applyProtection="1">
      <alignment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8" xfId="0" applyFont="1" applyBorder="1" applyAlignment="1" applyProtection="1">
      <alignment horizontal="center" vertical="center" wrapText="1"/>
    </xf>
    <xf numFmtId="0" fontId="11" fillId="0" borderId="1" xfId="0" applyFont="1" applyBorder="1" applyAlignment="1" applyProtection="1">
      <alignment vertical="center" wrapText="1"/>
    </xf>
    <xf numFmtId="0" fontId="11" fillId="0" borderId="10" xfId="0" applyFont="1" applyBorder="1" applyAlignment="1" applyProtection="1">
      <alignment vertical="center" wrapText="1"/>
    </xf>
    <xf numFmtId="0" fontId="22" fillId="0" borderId="1" xfId="3" applyFont="1" applyFill="1" applyBorder="1" applyAlignment="1" applyProtection="1">
      <alignment vertical="center" wrapText="1"/>
      <protection locked="0"/>
    </xf>
    <xf numFmtId="0" fontId="25"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14"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protection locked="0"/>
    </xf>
    <xf numFmtId="14" fontId="25" fillId="0" borderId="1" xfId="0" applyNumberFormat="1" applyFont="1" applyFill="1" applyBorder="1" applyAlignment="1" applyProtection="1">
      <alignment vertical="center" wrapText="1"/>
      <protection locked="0"/>
    </xf>
    <xf numFmtId="0" fontId="25" fillId="0" borderId="0" xfId="0" applyFont="1" applyFill="1" applyAlignment="1" applyProtection="1">
      <alignment horizontal="center" vertical="center" wrapText="1"/>
    </xf>
    <xf numFmtId="0" fontId="25" fillId="0" borderId="9" xfId="0" applyFont="1" applyFill="1" applyBorder="1" applyAlignment="1" applyProtection="1">
      <alignment horizontal="center" vertical="center" wrapText="1"/>
      <protection locked="0"/>
    </xf>
    <xf numFmtId="0" fontId="25" fillId="0" borderId="9" xfId="0" applyFont="1" applyFill="1" applyBorder="1" applyAlignment="1" applyProtection="1">
      <alignment vertical="center" wrapText="1"/>
      <protection locked="0"/>
    </xf>
    <xf numFmtId="14" fontId="25" fillId="0" borderId="9" xfId="0" applyNumberFormat="1" applyFont="1" applyFill="1" applyBorder="1" applyAlignment="1" applyProtection="1">
      <alignment vertical="center" wrapText="1"/>
      <protection locked="0"/>
    </xf>
    <xf numFmtId="0" fontId="6" fillId="16" borderId="3" xfId="0" applyFont="1" applyFill="1" applyBorder="1" applyAlignment="1" applyProtection="1">
      <alignment horizontal="center" vertical="center" wrapText="1"/>
    </xf>
    <xf numFmtId="0" fontId="6" fillId="16" borderId="1" xfId="0" applyFont="1" applyFill="1" applyBorder="1" applyAlignment="1" applyProtection="1">
      <alignment vertical="center" wrapText="1"/>
    </xf>
    <xf numFmtId="0" fontId="6" fillId="16" borderId="1"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6" borderId="12" xfId="0" applyFont="1" applyFill="1" applyBorder="1" applyAlignment="1" applyProtection="1">
      <alignment vertical="center" wrapText="1"/>
    </xf>
    <xf numFmtId="0" fontId="22" fillId="0" borderId="1" xfId="3"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protection locked="0"/>
    </xf>
    <xf numFmtId="14" fontId="25" fillId="0" borderId="9" xfId="0" applyNumberFormat="1"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xf>
    <xf numFmtId="0" fontId="25" fillId="0" borderId="1" xfId="3"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22" fillId="0" borderId="1"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xf>
    <xf numFmtId="2" fontId="22" fillId="0" borderId="1" xfId="1"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0" fontId="25" fillId="0" borderId="3" xfId="3" applyFont="1" applyFill="1" applyBorder="1" applyAlignment="1" applyProtection="1">
      <alignment vertical="center" wrapText="1"/>
      <protection locked="0"/>
    </xf>
    <xf numFmtId="0" fontId="22" fillId="0" borderId="46" xfId="3"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xf>
    <xf numFmtId="2" fontId="22" fillId="0" borderId="3" xfId="1" applyNumberFormat="1" applyFont="1" applyFill="1" applyBorder="1" applyAlignment="1" applyProtection="1">
      <alignment horizontal="center" vertical="center" wrapText="1"/>
    </xf>
    <xf numFmtId="2" fontId="22" fillId="0" borderId="3" xfId="1" applyNumberFormat="1" applyFont="1" applyFill="1" applyBorder="1" applyAlignment="1" applyProtection="1">
      <alignment horizontal="center" vertical="center" wrapText="1"/>
      <protection locked="0"/>
    </xf>
    <xf numFmtId="2" fontId="22" fillId="0" borderId="3" xfId="1" applyNumberFormat="1" applyFont="1" applyFill="1" applyBorder="1" applyAlignment="1" applyProtection="1">
      <alignment horizontal="center" vertical="center" wrapText="1"/>
    </xf>
    <xf numFmtId="2" fontId="22" fillId="0" borderId="3" xfId="1" applyNumberFormat="1" applyFont="1" applyFill="1" applyBorder="1" applyAlignment="1" applyProtection="1">
      <alignment horizontal="center" vertical="center" wrapText="1"/>
      <protection locked="0"/>
    </xf>
    <xf numFmtId="0" fontId="27" fillId="0" borderId="3" xfId="0" applyFont="1" applyBorder="1" applyAlignment="1">
      <alignment vertical="center" wrapText="1"/>
    </xf>
    <xf numFmtId="0" fontId="25" fillId="0" borderId="3" xfId="0" applyFont="1" applyFill="1" applyBorder="1" applyAlignment="1" applyProtection="1">
      <alignment vertical="center" wrapText="1"/>
      <protection locked="0"/>
    </xf>
    <xf numFmtId="14" fontId="25" fillId="0" borderId="16" xfId="0" applyNumberFormat="1" applyFont="1" applyFill="1" applyBorder="1" applyAlignment="1" applyProtection="1">
      <alignment horizontal="center" vertical="center" wrapText="1"/>
      <protection locked="0"/>
    </xf>
    <xf numFmtId="0" fontId="25" fillId="0" borderId="1" xfId="3" applyFont="1" applyFill="1" applyBorder="1" applyAlignment="1" applyProtection="1">
      <alignment vertical="center" wrapText="1"/>
      <protection locked="0"/>
    </xf>
    <xf numFmtId="0" fontId="27" fillId="0" borderId="1" xfId="0" applyFont="1" applyBorder="1" applyAlignment="1">
      <alignment vertical="center" wrapText="1"/>
    </xf>
    <xf numFmtId="14" fontId="25" fillId="0" borderId="10" xfId="0" applyNumberFormat="1" applyFont="1" applyFill="1" applyBorder="1" applyAlignment="1" applyProtection="1">
      <alignment horizontal="center" vertical="center" wrapText="1"/>
      <protection locked="0"/>
    </xf>
    <xf numFmtId="0" fontId="22" fillId="0" borderId="12" xfId="3" applyFont="1" applyFill="1" applyBorder="1" applyAlignment="1" applyProtection="1">
      <alignment vertical="center" wrapText="1"/>
      <protection locked="0"/>
    </xf>
    <xf numFmtId="0" fontId="22" fillId="0" borderId="12" xfId="3" applyFont="1" applyFill="1" applyBorder="1" applyAlignment="1" applyProtection="1">
      <alignment horizontal="center" vertical="center" wrapText="1"/>
      <protection locked="0"/>
    </xf>
    <xf numFmtId="0" fontId="22" fillId="0" borderId="12" xfId="3"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protection locked="0"/>
    </xf>
    <xf numFmtId="2" fontId="22" fillId="0" borderId="12"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2" xfId="0" applyFont="1" applyFill="1" applyBorder="1" applyAlignment="1" applyProtection="1">
      <alignment vertical="center" wrapText="1"/>
      <protection locked="0"/>
    </xf>
    <xf numFmtId="0" fontId="25" fillId="0" borderId="19" xfId="0" applyFont="1" applyFill="1" applyBorder="1" applyAlignment="1" applyProtection="1">
      <alignment horizontal="center" vertical="center" wrapText="1"/>
      <protection locked="0"/>
    </xf>
    <xf numFmtId="0" fontId="27" fillId="0" borderId="3" xfId="0" applyFont="1" applyBorder="1" applyAlignment="1">
      <alignment horizontal="left" vertical="center" wrapText="1"/>
    </xf>
    <xf numFmtId="0" fontId="27"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2" xfId="3" applyFont="1" applyFill="1" applyBorder="1" applyAlignment="1" applyProtection="1">
      <alignment vertical="center" wrapText="1"/>
      <protection locked="0"/>
    </xf>
    <xf numFmtId="0" fontId="25" fillId="0" borderId="12" xfId="0" applyFont="1" applyBorder="1" applyAlignment="1">
      <alignment horizontal="left" vertical="center" wrapText="1"/>
    </xf>
    <xf numFmtId="0" fontId="25" fillId="0" borderId="12" xfId="0" applyFont="1" applyFill="1" applyBorder="1" applyAlignment="1" applyProtection="1">
      <alignment vertical="center" wrapText="1"/>
      <protection locked="0"/>
    </xf>
    <xf numFmtId="0" fontId="25" fillId="0" borderId="3"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2" fillId="0" borderId="17" xfId="3" applyFont="1" applyFill="1" applyBorder="1" applyAlignment="1" applyProtection="1">
      <alignment vertical="center" wrapText="1"/>
      <protection locked="0"/>
    </xf>
    <xf numFmtId="0" fontId="22" fillId="0" borderId="17" xfId="3" applyFont="1" applyFill="1" applyBorder="1" applyAlignment="1" applyProtection="1">
      <alignment horizontal="center" vertical="center" wrapText="1"/>
      <protection locked="0"/>
    </xf>
    <xf numFmtId="0" fontId="22" fillId="0" borderId="17" xfId="3" applyFont="1" applyFill="1" applyBorder="1" applyAlignment="1" applyProtection="1">
      <alignment horizontal="center" vertical="center" wrapText="1"/>
    </xf>
    <xf numFmtId="2" fontId="22" fillId="0" borderId="17" xfId="1" applyNumberFormat="1" applyFont="1" applyFill="1" applyBorder="1" applyAlignment="1" applyProtection="1">
      <alignment horizontal="center" vertical="center" wrapText="1"/>
    </xf>
    <xf numFmtId="2" fontId="22" fillId="0" borderId="17" xfId="1" applyNumberFormat="1" applyFont="1" applyFill="1" applyBorder="1" applyAlignment="1" applyProtection="1">
      <alignment horizontal="center" vertical="center" wrapText="1"/>
      <protection locked="0"/>
    </xf>
    <xf numFmtId="2" fontId="22" fillId="0" borderId="17" xfId="1" applyNumberFormat="1" applyFont="1" applyFill="1" applyBorder="1" applyAlignment="1" applyProtection="1">
      <alignment horizontal="center" vertical="center" wrapText="1"/>
    </xf>
    <xf numFmtId="2" fontId="22" fillId="0" borderId="17" xfId="1" applyNumberFormat="1"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7" xfId="0" applyFont="1" applyFill="1" applyBorder="1" applyAlignment="1" applyProtection="1">
      <alignment vertical="center" wrapText="1"/>
      <protection locked="0"/>
    </xf>
    <xf numFmtId="0" fontId="25" fillId="0" borderId="5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14" fontId="25" fillId="0" borderId="16" xfId="0" applyNumberFormat="1" applyFont="1" applyFill="1" applyBorder="1" applyAlignment="1" applyProtection="1">
      <alignment vertical="center" wrapText="1"/>
      <protection locked="0"/>
    </xf>
    <xf numFmtId="14" fontId="25" fillId="0" borderId="10" xfId="0" applyNumberFormat="1" applyFont="1" applyFill="1" applyBorder="1" applyAlignment="1" applyProtection="1">
      <alignment vertical="center" wrapText="1"/>
      <protection locked="0"/>
    </xf>
    <xf numFmtId="14" fontId="25" fillId="0" borderId="19" xfId="0" applyNumberFormat="1" applyFont="1" applyFill="1" applyBorder="1" applyAlignment="1" applyProtection="1">
      <alignment vertical="center" wrapText="1"/>
      <protection locked="0"/>
    </xf>
    <xf numFmtId="14" fontId="25" fillId="0" borderId="46" xfId="0" applyNumberFormat="1" applyFont="1" applyFill="1" applyBorder="1" applyAlignment="1" applyProtection="1">
      <alignment vertical="center" wrapText="1"/>
      <protection locked="0"/>
    </xf>
    <xf numFmtId="14" fontId="25" fillId="0" borderId="18" xfId="0" applyNumberFormat="1" applyFont="1" applyFill="1" applyBorder="1" applyAlignment="1" applyProtection="1">
      <alignment vertical="center" wrapText="1"/>
      <protection locked="0"/>
    </xf>
    <xf numFmtId="14" fontId="25" fillId="17" borderId="1" xfId="0" applyNumberFormat="1" applyFont="1" applyFill="1" applyBorder="1" applyAlignment="1" applyProtection="1">
      <alignment horizontal="center" vertical="center" wrapText="1"/>
      <protection locked="0"/>
    </xf>
    <xf numFmtId="14" fontId="25" fillId="0" borderId="3"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14" fontId="25" fillId="0" borderId="12" xfId="0" applyNumberFormat="1" applyFont="1" applyFill="1" applyBorder="1" applyAlignment="1" applyProtection="1">
      <alignment horizontal="center" vertical="center" wrapText="1"/>
      <protection locked="0"/>
    </xf>
    <xf numFmtId="0" fontId="25" fillId="17" borderId="1" xfId="0" applyFont="1" applyFill="1" applyBorder="1" applyAlignment="1" applyProtection="1">
      <alignment vertical="center" wrapText="1"/>
      <protection locked="0"/>
    </xf>
    <xf numFmtId="0" fontId="25" fillId="0" borderId="3" xfId="3" applyFont="1" applyFill="1" applyBorder="1" applyAlignment="1" applyProtection="1">
      <alignment horizontal="center" vertical="center" wrapText="1"/>
      <protection locked="0"/>
    </xf>
    <xf numFmtId="0" fontId="25" fillId="17" borderId="12" xfId="3"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xf>
    <xf numFmtId="0" fontId="25" fillId="0" borderId="12" xfId="3" applyFont="1" applyFill="1" applyBorder="1" applyAlignment="1" applyProtection="1">
      <alignment horizontal="center" vertical="center" wrapText="1"/>
      <protection locked="0"/>
    </xf>
    <xf numFmtId="0" fontId="30" fillId="0" borderId="34" xfId="0" applyFont="1" applyBorder="1" applyAlignment="1">
      <alignment horizontal="center" vertical="center" wrapText="1"/>
    </xf>
    <xf numFmtId="0" fontId="25" fillId="17" borderId="1" xfId="3" applyFont="1" applyFill="1" applyBorder="1" applyAlignment="1" applyProtection="1">
      <alignment vertical="center" wrapText="1"/>
      <protection locked="0"/>
    </xf>
    <xf numFmtId="0" fontId="22" fillId="17" borderId="1" xfId="0" applyFont="1" applyFill="1" applyBorder="1" applyAlignment="1" applyProtection="1">
      <alignment vertical="center" wrapText="1"/>
      <protection locked="0"/>
    </xf>
    <xf numFmtId="2" fontId="22" fillId="0" borderId="46" xfId="1" applyNumberFormat="1" applyFont="1" applyFill="1" applyBorder="1" applyAlignment="1" applyProtection="1">
      <alignment horizontal="center" vertical="center" wrapText="1"/>
      <protection locked="0"/>
    </xf>
    <xf numFmtId="2" fontId="22" fillId="0" borderId="46" xfId="1" applyNumberFormat="1" applyFont="1" applyFill="1" applyBorder="1" applyAlignment="1" applyProtection="1">
      <alignment horizontal="center" vertical="center" wrapText="1"/>
    </xf>
    <xf numFmtId="0" fontId="25" fillId="17" borderId="3" xfId="3" applyFont="1" applyFill="1" applyBorder="1" applyAlignment="1" applyProtection="1">
      <alignment vertical="center" wrapText="1"/>
      <protection locked="0"/>
    </xf>
    <xf numFmtId="0" fontId="22" fillId="17" borderId="3" xfId="3" applyFont="1" applyFill="1" applyBorder="1" applyAlignment="1" applyProtection="1">
      <alignment horizontal="center" vertical="center" wrapText="1"/>
      <protection locked="0"/>
    </xf>
    <xf numFmtId="0" fontId="22" fillId="17" borderId="3" xfId="3" applyFont="1" applyFill="1" applyBorder="1" applyAlignment="1" applyProtection="1">
      <alignment horizontal="center" vertical="center" wrapText="1"/>
    </xf>
    <xf numFmtId="2" fontId="22" fillId="17" borderId="3" xfId="1" applyNumberFormat="1" applyFont="1" applyFill="1" applyBorder="1" applyAlignment="1" applyProtection="1">
      <alignment horizontal="center" vertical="center" wrapText="1"/>
    </xf>
    <xf numFmtId="2" fontId="22" fillId="17" borderId="3" xfId="1" applyNumberFormat="1" applyFont="1" applyFill="1" applyBorder="1" applyAlignment="1" applyProtection="1">
      <alignment horizontal="center" vertical="center" wrapText="1"/>
      <protection locked="0"/>
    </xf>
    <xf numFmtId="2" fontId="22" fillId="17" borderId="3" xfId="1" applyNumberFormat="1" applyFont="1" applyFill="1" applyBorder="1" applyAlignment="1" applyProtection="1">
      <alignment horizontal="center" vertical="center" wrapText="1"/>
    </xf>
    <xf numFmtId="2" fontId="22" fillId="17" borderId="3" xfId="1" applyNumberFormat="1" applyFont="1" applyFill="1" applyBorder="1" applyAlignment="1" applyProtection="1">
      <alignment horizontal="center" vertical="center" wrapText="1"/>
      <protection locked="0"/>
    </xf>
    <xf numFmtId="0" fontId="22" fillId="17" borderId="3" xfId="0" applyFont="1" applyFill="1" applyBorder="1" applyAlignment="1" applyProtection="1">
      <alignment vertical="center" wrapText="1"/>
      <protection locked="0"/>
    </xf>
    <xf numFmtId="14" fontId="25" fillId="17" borderId="3" xfId="0" applyNumberFormat="1" applyFont="1" applyFill="1" applyBorder="1" applyAlignment="1" applyProtection="1">
      <alignment horizontal="center" vertical="center" wrapText="1"/>
      <protection locked="0"/>
    </xf>
    <xf numFmtId="14" fontId="25" fillId="17" borderId="16" xfId="0" applyNumberFormat="1" applyFont="1" applyFill="1" applyBorder="1" applyAlignment="1" applyProtection="1">
      <alignment vertical="center" wrapText="1"/>
      <protection locked="0"/>
    </xf>
    <xf numFmtId="0" fontId="25" fillId="17" borderId="12" xfId="3" applyFont="1" applyFill="1" applyBorder="1" applyAlignment="1" applyProtection="1">
      <alignment vertical="center" wrapText="1"/>
      <protection locked="0"/>
    </xf>
    <xf numFmtId="0" fontId="22" fillId="17" borderId="12" xfId="3" applyFont="1" applyFill="1" applyBorder="1" applyAlignment="1" applyProtection="1">
      <alignment horizontal="center" vertical="center" wrapText="1"/>
      <protection locked="0"/>
    </xf>
    <xf numFmtId="0" fontId="22" fillId="17" borderId="12" xfId="3" applyFont="1" applyFill="1" applyBorder="1" applyAlignment="1" applyProtection="1">
      <alignment horizontal="center" vertical="center" wrapText="1"/>
    </xf>
    <xf numFmtId="2" fontId="22" fillId="17" borderId="12" xfId="1" applyNumberFormat="1" applyFont="1" applyFill="1" applyBorder="1" applyAlignment="1" applyProtection="1">
      <alignment horizontal="center" vertical="center" wrapText="1"/>
    </xf>
    <xf numFmtId="2" fontId="22" fillId="17" borderId="12" xfId="1" applyNumberFormat="1" applyFont="1" applyFill="1" applyBorder="1" applyAlignment="1" applyProtection="1">
      <alignment horizontal="center" vertical="center" wrapText="1"/>
      <protection locked="0"/>
    </xf>
    <xf numFmtId="2" fontId="22" fillId="17" borderId="12" xfId="1" applyNumberFormat="1" applyFont="1" applyFill="1" applyBorder="1" applyAlignment="1" applyProtection="1">
      <alignment horizontal="center" vertical="center" wrapText="1"/>
    </xf>
    <xf numFmtId="2" fontId="22" fillId="17" borderId="12" xfId="1" applyNumberFormat="1" applyFont="1" applyFill="1" applyBorder="1" applyAlignment="1" applyProtection="1">
      <alignment horizontal="center" vertical="center" wrapText="1"/>
      <protection locked="0"/>
    </xf>
    <xf numFmtId="0" fontId="22" fillId="17" borderId="12" xfId="0" applyFont="1" applyFill="1" applyBorder="1" applyAlignment="1" applyProtection="1">
      <alignment vertical="center" wrapText="1"/>
      <protection locked="0"/>
    </xf>
    <xf numFmtId="14" fontId="25" fillId="17" borderId="12" xfId="0" applyNumberFormat="1" applyFont="1" applyFill="1" applyBorder="1" applyAlignment="1" applyProtection="1">
      <alignment horizontal="center" vertical="center" wrapText="1"/>
      <protection locked="0"/>
    </xf>
    <xf numFmtId="14" fontId="25" fillId="17" borderId="19" xfId="0" applyNumberFormat="1" applyFont="1" applyFill="1" applyBorder="1" applyAlignment="1" applyProtection="1">
      <alignment vertical="center" wrapText="1"/>
      <protection locked="0"/>
    </xf>
    <xf numFmtId="14" fontId="25" fillId="0" borderId="19"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vertical="center" wrapText="1"/>
      <protection locked="0"/>
    </xf>
    <xf numFmtId="0" fontId="25" fillId="0" borderId="8" xfId="0" applyFont="1" applyFill="1" applyBorder="1" applyAlignment="1" applyProtection="1">
      <alignment vertical="center" wrapText="1"/>
      <protection locked="0"/>
    </xf>
    <xf numFmtId="0" fontId="25" fillId="0" borderId="11" xfId="0" applyFont="1" applyFill="1" applyBorder="1" applyAlignment="1" applyProtection="1">
      <alignment vertical="center" wrapText="1"/>
      <protection locked="0"/>
    </xf>
    <xf numFmtId="0" fontId="31" fillId="0" borderId="1" xfId="3" applyFont="1" applyFill="1" applyBorder="1" applyAlignment="1" applyProtection="1">
      <alignment vertical="center" wrapText="1"/>
      <protection locked="0"/>
    </xf>
    <xf numFmtId="0" fontId="25" fillId="0" borderId="0" xfId="0" applyFont="1" applyFill="1" applyAlignment="1" applyProtection="1">
      <alignment horizontal="left" vertical="center" wrapText="1"/>
    </xf>
    <xf numFmtId="0" fontId="22" fillId="0" borderId="3" xfId="3" applyFont="1" applyFill="1" applyBorder="1" applyAlignment="1" applyProtection="1">
      <alignment vertical="center" wrapText="1"/>
      <protection locked="0"/>
    </xf>
    <xf numFmtId="0" fontId="22" fillId="0" borderId="3" xfId="0" applyFont="1" applyFill="1" applyBorder="1" applyAlignment="1" applyProtection="1">
      <alignment vertical="center" wrapText="1"/>
      <protection locked="0"/>
    </xf>
    <xf numFmtId="14" fontId="25" fillId="0" borderId="44" xfId="0" applyNumberFormat="1" applyFont="1" applyFill="1" applyBorder="1" applyAlignment="1" applyProtection="1">
      <alignment vertical="center" wrapText="1"/>
      <protection locked="0"/>
    </xf>
    <xf numFmtId="0" fontId="27" fillId="0" borderId="0" xfId="0" applyFont="1" applyFill="1" applyAlignment="1" applyProtection="1">
      <alignment horizontal="center" vertical="center" wrapText="1"/>
    </xf>
    <xf numFmtId="14" fontId="27" fillId="0" borderId="18" xfId="0" applyNumberFormat="1" applyFont="1" applyFill="1" applyBorder="1" applyAlignment="1" applyProtection="1">
      <alignment vertical="center" wrapText="1"/>
      <protection locked="0"/>
    </xf>
    <xf numFmtId="0" fontId="32" fillId="0" borderId="1" xfId="3" applyFont="1" applyFill="1" applyBorder="1" applyAlignment="1" applyProtection="1">
      <alignment horizontal="center" vertical="center" wrapText="1"/>
      <protection locked="0"/>
    </xf>
    <xf numFmtId="0" fontId="32" fillId="0" borderId="1" xfId="3" applyFont="1" applyFill="1" applyBorder="1" applyAlignment="1" applyProtection="1">
      <alignment horizontal="center" vertical="center" wrapText="1"/>
    </xf>
    <xf numFmtId="2" fontId="32" fillId="0" borderId="1" xfId="1" applyNumberFormat="1" applyFont="1" applyFill="1" applyBorder="1" applyAlignment="1" applyProtection="1">
      <alignment horizontal="center" vertical="center" wrapText="1"/>
    </xf>
    <xf numFmtId="2" fontId="32" fillId="0" borderId="1" xfId="1" applyNumberFormat="1" applyFont="1" applyFill="1" applyBorder="1" applyAlignment="1" applyProtection="1">
      <alignment horizontal="center" vertical="center" wrapText="1"/>
      <protection locked="0"/>
    </xf>
    <xf numFmtId="2" fontId="32" fillId="0" borderId="1" xfId="1" applyNumberFormat="1" applyFont="1" applyFill="1" applyBorder="1" applyAlignment="1" applyProtection="1">
      <alignment horizontal="center" vertical="center" wrapText="1"/>
    </xf>
    <xf numFmtId="2" fontId="32" fillId="0" borderId="1" xfId="1"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vertical="center" wrapText="1"/>
      <protection locked="0"/>
    </xf>
    <xf numFmtId="14" fontId="2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0" fontId="32" fillId="0" borderId="3" xfId="3" applyFont="1" applyFill="1" applyBorder="1" applyAlignment="1" applyProtection="1">
      <alignment horizontal="center" vertical="center" wrapText="1"/>
      <protection locked="0"/>
    </xf>
    <xf numFmtId="0" fontId="32" fillId="0" borderId="3" xfId="3" applyFont="1" applyFill="1" applyBorder="1" applyAlignment="1" applyProtection="1">
      <alignment horizontal="center" vertical="center" wrapText="1"/>
    </xf>
    <xf numFmtId="2" fontId="32" fillId="0" borderId="3" xfId="1" applyNumberFormat="1" applyFont="1" applyFill="1" applyBorder="1" applyAlignment="1" applyProtection="1">
      <alignment horizontal="center" vertical="center" wrapText="1"/>
    </xf>
    <xf numFmtId="2" fontId="32" fillId="0" borderId="3" xfId="1" applyNumberFormat="1" applyFont="1" applyFill="1" applyBorder="1" applyAlignment="1" applyProtection="1">
      <alignment horizontal="center" vertical="center" wrapText="1"/>
      <protection locked="0"/>
    </xf>
    <xf numFmtId="2" fontId="32" fillId="0" borderId="3" xfId="1" applyNumberFormat="1" applyFont="1" applyFill="1" applyBorder="1" applyAlignment="1" applyProtection="1">
      <alignment horizontal="center" vertical="center" wrapText="1"/>
    </xf>
    <xf numFmtId="14" fontId="27" fillId="0" borderId="46" xfId="0" applyNumberFormat="1" applyFont="1" applyFill="1" applyBorder="1" applyAlignment="1" applyProtection="1">
      <alignment vertical="center" wrapText="1"/>
      <protection locked="0"/>
    </xf>
    <xf numFmtId="14" fontId="27" fillId="0" borderId="10" xfId="0" applyNumberFormat="1" applyFont="1" applyFill="1" applyBorder="1" applyAlignment="1" applyProtection="1">
      <alignment vertical="center" wrapText="1"/>
      <protection locked="0"/>
    </xf>
    <xf numFmtId="0" fontId="32" fillId="0" borderId="12" xfId="3" applyFont="1" applyFill="1" applyBorder="1" applyAlignment="1" applyProtection="1">
      <alignment horizontal="center" vertical="center" wrapText="1"/>
      <protection locked="0"/>
    </xf>
    <xf numFmtId="0" fontId="32" fillId="0" borderId="12" xfId="3" applyFont="1" applyFill="1" applyBorder="1" applyAlignment="1" applyProtection="1">
      <alignment horizontal="center" vertical="center" wrapText="1"/>
    </xf>
    <xf numFmtId="2" fontId="32" fillId="0" borderId="12" xfId="1" applyNumberFormat="1" applyFont="1" applyFill="1" applyBorder="1" applyAlignment="1" applyProtection="1">
      <alignment horizontal="center" vertical="center" wrapText="1"/>
    </xf>
    <xf numFmtId="2" fontId="32" fillId="0" borderId="12" xfId="1" applyNumberFormat="1" applyFont="1" applyFill="1" applyBorder="1" applyAlignment="1" applyProtection="1">
      <alignment horizontal="center" vertical="center" wrapText="1"/>
      <protection locked="0"/>
    </xf>
    <xf numFmtId="2" fontId="32" fillId="0" borderId="12" xfId="1" applyNumberFormat="1" applyFont="1" applyFill="1" applyBorder="1" applyAlignment="1" applyProtection="1">
      <alignment horizontal="center" vertical="center" wrapText="1"/>
    </xf>
    <xf numFmtId="2" fontId="32" fillId="0" borderId="12" xfId="1" applyNumberFormat="1"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wrapText="1"/>
      <protection locked="0"/>
    </xf>
    <xf numFmtId="14" fontId="27" fillId="0" borderId="44" xfId="0" applyNumberFormat="1" applyFont="1" applyFill="1" applyBorder="1" applyAlignment="1" applyProtection="1">
      <alignment vertical="center" wrapText="1"/>
      <protection locked="0"/>
    </xf>
    <xf numFmtId="0" fontId="27" fillId="0" borderId="12" xfId="0" applyFont="1" applyFill="1" applyBorder="1" applyAlignment="1" applyProtection="1">
      <alignment vertical="center" wrapText="1"/>
      <protection locked="0"/>
    </xf>
    <xf numFmtId="14" fontId="27" fillId="0" borderId="19" xfId="0" applyNumberFormat="1" applyFont="1" applyFill="1" applyBorder="1" applyAlignment="1" applyProtection="1">
      <alignment vertical="center" wrapText="1"/>
      <protection locked="0"/>
    </xf>
    <xf numFmtId="0" fontId="27" fillId="17" borderId="1" xfId="3" applyFont="1" applyFill="1" applyBorder="1" applyAlignment="1" applyProtection="1">
      <alignment vertical="center" wrapText="1"/>
      <protection locked="0"/>
    </xf>
    <xf numFmtId="0" fontId="27" fillId="17" borderId="3" xfId="3" applyFont="1" applyFill="1" applyBorder="1" applyAlignment="1" applyProtection="1">
      <alignment vertical="center" wrapText="1"/>
      <protection locked="0"/>
    </xf>
    <xf numFmtId="0" fontId="25" fillId="17" borderId="3" xfId="0" applyFont="1" applyFill="1" applyBorder="1" applyAlignment="1" applyProtection="1">
      <alignment vertical="center" wrapText="1"/>
      <protection locked="0"/>
    </xf>
    <xf numFmtId="14" fontId="25" fillId="17" borderId="10" xfId="0" applyNumberFormat="1" applyFont="1" applyFill="1" applyBorder="1" applyAlignment="1" applyProtection="1">
      <alignment vertical="center" wrapText="1"/>
      <protection locked="0"/>
    </xf>
    <xf numFmtId="0" fontId="22" fillId="0" borderId="12" xfId="3"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protection locked="0"/>
    </xf>
    <xf numFmtId="0" fontId="22" fillId="0" borderId="12" xfId="3"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2" fillId="17" borderId="1" xfId="3" applyFont="1" applyFill="1" applyBorder="1" applyAlignment="1" applyProtection="1">
      <alignment horizontal="center" vertical="center" wrapText="1"/>
      <protection locked="0"/>
    </xf>
    <xf numFmtId="0" fontId="22" fillId="17" borderId="1" xfId="3" applyFont="1" applyFill="1" applyBorder="1" applyAlignment="1" applyProtection="1">
      <alignment horizontal="center" vertical="center" wrapText="1"/>
    </xf>
    <xf numFmtId="2" fontId="22" fillId="17" borderId="1" xfId="1" applyNumberFormat="1" applyFont="1" applyFill="1" applyBorder="1" applyAlignment="1" applyProtection="1">
      <alignment horizontal="center" vertical="center" wrapText="1"/>
    </xf>
    <xf numFmtId="2" fontId="22" fillId="17" borderId="1" xfId="1" applyNumberFormat="1" applyFont="1" applyFill="1" applyBorder="1" applyAlignment="1" applyProtection="1">
      <alignment horizontal="center" vertical="center" wrapText="1"/>
      <protection locked="0"/>
    </xf>
    <xf numFmtId="0" fontId="25" fillId="17"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xf>
    <xf numFmtId="14" fontId="25" fillId="0" borderId="18" xfId="0" applyNumberFormat="1" applyFont="1" applyFill="1" applyBorder="1" applyAlignment="1" applyProtection="1">
      <alignment horizontal="center" vertical="center" wrapText="1"/>
      <protection locked="0"/>
    </xf>
    <xf numFmtId="14" fontId="25" fillId="0" borderId="17"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center" vertical="center" wrapText="1"/>
      <protection locked="0"/>
    </xf>
    <xf numFmtId="0" fontId="32" fillId="0" borderId="1" xfId="3" applyFont="1" applyFill="1" applyBorder="1" applyAlignment="1" applyProtection="1">
      <alignment vertical="center" wrapText="1"/>
      <protection locked="0"/>
    </xf>
    <xf numFmtId="0" fontId="25" fillId="0" borderId="63" xfId="3" applyFont="1" applyFill="1" applyBorder="1" applyAlignment="1" applyProtection="1">
      <alignment vertical="center" wrapText="1"/>
      <protection locked="0"/>
    </xf>
    <xf numFmtId="0" fontId="25" fillId="0" borderId="63" xfId="0" applyFont="1" applyFill="1" applyBorder="1" applyAlignment="1" applyProtection="1">
      <alignment vertical="center" wrapText="1"/>
      <protection locked="0"/>
    </xf>
    <xf numFmtId="0" fontId="22" fillId="0" borderId="63" xfId="0" applyFont="1" applyFill="1" applyBorder="1" applyAlignment="1" applyProtection="1">
      <alignment horizontal="center" vertical="center" wrapText="1"/>
      <protection locked="0"/>
    </xf>
    <xf numFmtId="14" fontId="25" fillId="0" borderId="63" xfId="0" applyNumberFormat="1" applyFont="1" applyFill="1" applyBorder="1" applyAlignment="1" applyProtection="1">
      <alignment horizontal="center" vertical="center" wrapText="1"/>
      <protection locked="0"/>
    </xf>
    <xf numFmtId="0" fontId="25" fillId="0" borderId="9" xfId="3" applyFont="1" applyFill="1" applyBorder="1" applyAlignment="1" applyProtection="1">
      <alignment vertical="center" wrapText="1"/>
      <protection locked="0"/>
    </xf>
    <xf numFmtId="0" fontId="25" fillId="0" borderId="63" xfId="0" applyFont="1" applyFill="1" applyBorder="1" applyAlignment="1" applyProtection="1">
      <alignment horizontal="center" vertical="center" wrapText="1"/>
    </xf>
    <xf numFmtId="0" fontId="22" fillId="0" borderId="63" xfId="3"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25" fillId="0" borderId="63" xfId="0" applyFont="1" applyFill="1" applyBorder="1" applyAlignment="1" applyProtection="1">
      <alignment horizontal="center" vertical="center" wrapText="1"/>
      <protection locked="0"/>
    </xf>
    <xf numFmtId="0" fontId="22" fillId="0" borderId="63" xfId="0" applyFont="1" applyFill="1" applyBorder="1" applyAlignment="1" applyProtection="1">
      <alignment vertical="center" wrapText="1"/>
      <protection locked="0"/>
    </xf>
    <xf numFmtId="14" fontId="25" fillId="0" borderId="63" xfId="0" applyNumberFormat="1" applyFont="1" applyFill="1" applyBorder="1" applyAlignment="1" applyProtection="1">
      <alignment vertical="center" wrapText="1"/>
      <protection locked="0"/>
    </xf>
    <xf numFmtId="14" fontId="25" fillId="0" borderId="65" xfId="0" applyNumberFormat="1" applyFont="1" applyFill="1" applyBorder="1" applyAlignment="1" applyProtection="1">
      <alignment vertical="center" wrapText="1"/>
      <protection locked="0"/>
    </xf>
    <xf numFmtId="0" fontId="25" fillId="0" borderId="17" xfId="0" applyFont="1" applyFill="1" applyBorder="1" applyAlignment="1" applyProtection="1">
      <alignment vertical="center" wrapText="1"/>
      <protection locked="0"/>
    </xf>
    <xf numFmtId="0" fontId="27" fillId="17" borderId="12" xfId="3" applyFont="1" applyFill="1" applyBorder="1" applyAlignment="1" applyProtection="1">
      <alignment vertical="center" wrapText="1"/>
      <protection locked="0"/>
    </xf>
    <xf numFmtId="0" fontId="25" fillId="17" borderId="12" xfId="0" applyFont="1" applyFill="1" applyBorder="1" applyAlignment="1" applyProtection="1">
      <alignment vertical="center" wrapText="1"/>
      <protection locked="0"/>
    </xf>
    <xf numFmtId="0" fontId="32" fillId="17" borderId="12" xfId="0" applyFont="1" applyFill="1" applyBorder="1" applyAlignment="1" applyProtection="1">
      <alignment horizontal="center" vertical="center" wrapText="1"/>
      <protection locked="0"/>
    </xf>
    <xf numFmtId="0" fontId="25" fillId="17" borderId="12" xfId="0" applyFont="1" applyFill="1" applyBorder="1" applyAlignment="1" applyProtection="1">
      <alignment horizontal="center" vertical="center" wrapText="1"/>
      <protection locked="0"/>
    </xf>
    <xf numFmtId="0" fontId="22" fillId="17" borderId="5" xfId="3" applyFont="1" applyFill="1" applyBorder="1" applyAlignment="1" applyProtection="1">
      <alignment horizontal="center" vertical="center" wrapText="1"/>
      <protection locked="0"/>
    </xf>
    <xf numFmtId="0" fontId="22" fillId="17" borderId="14" xfId="3" applyFont="1" applyFill="1" applyBorder="1" applyAlignment="1" applyProtection="1">
      <alignment horizontal="center" vertical="center" wrapText="1"/>
      <protection locked="0"/>
    </xf>
    <xf numFmtId="0" fontId="25" fillId="17" borderId="14" xfId="3" applyFont="1" applyFill="1" applyBorder="1" applyAlignment="1" applyProtection="1">
      <alignment horizontal="center" vertical="center" wrapText="1"/>
      <protection locked="0"/>
    </xf>
    <xf numFmtId="0" fontId="26" fillId="17" borderId="14" xfId="3" applyFont="1" applyFill="1" applyBorder="1" applyAlignment="1" applyProtection="1">
      <alignment horizontal="center" vertical="center" wrapText="1"/>
      <protection locked="0"/>
    </xf>
    <xf numFmtId="0" fontId="25" fillId="17" borderId="14" xfId="3" applyFont="1" applyFill="1" applyBorder="1" applyAlignment="1" applyProtection="1">
      <alignment vertical="center" wrapText="1"/>
      <protection locked="0"/>
    </xf>
    <xf numFmtId="0" fontId="22" fillId="17" borderId="14" xfId="3" applyFont="1" applyFill="1" applyBorder="1" applyAlignment="1" applyProtection="1">
      <alignment horizontal="center" vertical="center" wrapText="1"/>
    </xf>
    <xf numFmtId="0" fontId="22" fillId="17" borderId="14" xfId="0" applyFont="1" applyFill="1" applyBorder="1" applyAlignment="1" applyProtection="1">
      <alignment horizontal="center" vertical="center" wrapText="1"/>
      <protection locked="0"/>
    </xf>
    <xf numFmtId="2" fontId="22" fillId="17" borderId="14" xfId="1" applyNumberFormat="1" applyFont="1" applyFill="1" applyBorder="1" applyAlignment="1" applyProtection="1">
      <alignment horizontal="center" vertical="center" wrapText="1"/>
    </xf>
    <xf numFmtId="2" fontId="22" fillId="17" borderId="14" xfId="1" applyNumberFormat="1" applyFont="1" applyFill="1" applyBorder="1" applyAlignment="1" applyProtection="1">
      <alignment horizontal="center" vertical="center" wrapText="1"/>
      <protection locked="0"/>
    </xf>
    <xf numFmtId="0" fontId="22" fillId="17" borderId="14" xfId="0" applyFont="1" applyFill="1" applyBorder="1" applyAlignment="1" applyProtection="1">
      <alignment horizontal="center" vertical="center" wrapText="1"/>
    </xf>
    <xf numFmtId="0" fontId="27" fillId="17" borderId="14" xfId="0" applyFont="1" applyFill="1" applyBorder="1" applyAlignment="1" applyProtection="1">
      <alignment horizontal="center" vertical="center" wrapText="1"/>
      <protection locked="0"/>
    </xf>
    <xf numFmtId="0" fontId="22" fillId="17" borderId="14" xfId="0" applyFont="1" applyFill="1" applyBorder="1" applyAlignment="1" applyProtection="1">
      <alignment vertical="center" wrapText="1"/>
      <protection locked="0"/>
    </xf>
    <xf numFmtId="14" fontId="25" fillId="17" borderId="14" xfId="0" applyNumberFormat="1" applyFont="1" applyFill="1" applyBorder="1" applyAlignment="1" applyProtection="1">
      <alignment horizontal="center" vertical="center" wrapText="1"/>
      <protection locked="0"/>
    </xf>
    <xf numFmtId="0" fontId="25" fillId="17" borderId="14" xfId="0" applyFont="1" applyFill="1" applyBorder="1" applyAlignment="1" applyProtection="1">
      <alignment vertical="center" wrapText="1"/>
      <protection locked="0"/>
    </xf>
    <xf numFmtId="14" fontId="25" fillId="17" borderId="15" xfId="0" applyNumberFormat="1" applyFont="1" applyFill="1" applyBorder="1" applyAlignment="1" applyProtection="1">
      <alignment vertical="center" wrapText="1"/>
      <protection locked="0"/>
    </xf>
    <xf numFmtId="14" fontId="25" fillId="0" borderId="12" xfId="0" applyNumberFormat="1" applyFont="1" applyFill="1" applyBorder="1" applyAlignment="1" applyProtection="1">
      <alignment vertical="center" wrapText="1"/>
      <protection locked="0"/>
    </xf>
    <xf numFmtId="0" fontId="25" fillId="0" borderId="3" xfId="0" applyFont="1" applyFill="1" applyBorder="1" applyAlignment="1" applyProtection="1">
      <alignment horizontal="center" vertical="center" wrapText="1"/>
    </xf>
    <xf numFmtId="14" fontId="25" fillId="0" borderId="3" xfId="0" applyNumberFormat="1" applyFont="1" applyFill="1" applyBorder="1" applyAlignment="1" applyProtection="1">
      <alignment vertical="center" wrapText="1"/>
      <protection locked="0"/>
    </xf>
    <xf numFmtId="0" fontId="25" fillId="0" borderId="44" xfId="0" applyFont="1" applyFill="1" applyBorder="1" applyAlignment="1" applyProtection="1">
      <alignment vertical="center" wrapText="1"/>
    </xf>
    <xf numFmtId="0" fontId="25" fillId="0" borderId="12" xfId="0" applyFont="1" applyFill="1" applyBorder="1" applyAlignment="1" applyProtection="1">
      <alignment horizontal="center" vertical="center" wrapText="1"/>
    </xf>
    <xf numFmtId="0" fontId="25" fillId="0" borderId="44" xfId="0" applyFont="1" applyFill="1" applyBorder="1" applyAlignment="1" applyProtection="1">
      <alignment vertical="center" wrapText="1"/>
      <protection locked="0"/>
    </xf>
    <xf numFmtId="0" fontId="25" fillId="17" borderId="3"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center" wrapText="1"/>
      <protection locked="0"/>
    </xf>
    <xf numFmtId="0" fontId="25" fillId="17" borderId="3" xfId="0" applyFont="1" applyFill="1" applyBorder="1" applyAlignment="1" applyProtection="1">
      <alignment horizontal="left" vertical="center" wrapText="1"/>
      <protection locked="0"/>
    </xf>
    <xf numFmtId="0" fontId="25" fillId="0" borderId="17" xfId="0" applyFont="1" applyFill="1" applyBorder="1" applyAlignment="1" applyProtection="1">
      <alignment horizontal="center" vertical="center" wrapText="1"/>
      <protection locked="0"/>
    </xf>
    <xf numFmtId="14" fontId="25" fillId="0" borderId="51" xfId="0" applyNumberFormat="1" applyFont="1" applyFill="1" applyBorder="1" applyAlignment="1" applyProtection="1">
      <alignment vertical="center" wrapText="1"/>
      <protection locked="0"/>
    </xf>
    <xf numFmtId="14" fontId="25" fillId="17" borderId="16" xfId="0" applyNumberFormat="1" applyFont="1" applyFill="1" applyBorder="1" applyAlignment="1" applyProtection="1">
      <alignment horizontal="center" vertical="center" wrapText="1"/>
      <protection locked="0"/>
    </xf>
    <xf numFmtId="14" fontId="25" fillId="17" borderId="3" xfId="0" applyNumberFormat="1" applyFont="1" applyFill="1" applyBorder="1" applyAlignment="1" applyProtection="1">
      <alignment vertical="center" wrapText="1"/>
      <protection locked="0"/>
    </xf>
    <xf numFmtId="0" fontId="25" fillId="0" borderId="16" xfId="0" applyFont="1" applyFill="1" applyBorder="1" applyAlignment="1" applyProtection="1">
      <alignment vertical="center" wrapText="1"/>
      <protection locked="0"/>
    </xf>
    <xf numFmtId="0" fontId="25" fillId="0" borderId="10" xfId="0" applyFont="1" applyFill="1" applyBorder="1" applyAlignment="1" applyProtection="1">
      <alignment vertical="center" wrapText="1"/>
      <protection locked="0"/>
    </xf>
    <xf numFmtId="14" fontId="25" fillId="0" borderId="12" xfId="0" applyNumberFormat="1" applyFont="1" applyFill="1" applyBorder="1" applyAlignment="1" applyProtection="1">
      <alignment horizontal="center" vertical="center" wrapText="1"/>
      <protection locked="0"/>
    </xf>
    <xf numFmtId="0" fontId="32" fillId="0" borderId="3" xfId="3" applyFont="1" applyFill="1" applyBorder="1" applyAlignment="1" applyProtection="1">
      <alignment vertical="center" wrapText="1"/>
      <protection locked="0"/>
    </xf>
    <xf numFmtId="0" fontId="32" fillId="0" borderId="12" xfId="3" applyFont="1" applyFill="1" applyBorder="1" applyAlignment="1" applyProtection="1">
      <alignment vertical="center" wrapText="1"/>
      <protection locked="0"/>
    </xf>
    <xf numFmtId="0" fontId="22" fillId="0" borderId="5" xfId="3" applyFont="1" applyFill="1" applyBorder="1" applyAlignment="1" applyProtection="1">
      <alignment horizontal="center" vertical="center" wrapText="1"/>
      <protection locked="0"/>
    </xf>
    <xf numFmtId="0" fontId="22" fillId="0" borderId="14" xfId="3" applyFont="1" applyFill="1" applyBorder="1" applyAlignment="1" applyProtection="1">
      <alignment horizontal="center" vertical="center" wrapText="1"/>
      <protection locked="0"/>
    </xf>
    <xf numFmtId="0" fontId="25" fillId="0" borderId="14" xfId="3" applyFont="1" applyFill="1" applyBorder="1" applyAlignment="1" applyProtection="1">
      <alignment horizontal="center" vertical="center" wrapText="1"/>
      <protection locked="0"/>
    </xf>
    <xf numFmtId="0" fontId="26" fillId="8" borderId="14" xfId="3" applyFont="1" applyFill="1" applyBorder="1" applyAlignment="1" applyProtection="1">
      <alignment horizontal="center" vertical="center" wrapText="1"/>
      <protection locked="0"/>
    </xf>
    <xf numFmtId="0" fontId="25" fillId="0" borderId="14" xfId="3" applyFont="1" applyFill="1" applyBorder="1" applyAlignment="1" applyProtection="1">
      <alignment vertical="center" wrapText="1"/>
      <protection locked="0"/>
    </xf>
    <xf numFmtId="0" fontId="22" fillId="0" borderId="14" xfId="3"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protection locked="0"/>
    </xf>
    <xf numFmtId="2" fontId="22" fillId="0" borderId="14" xfId="1" applyNumberFormat="1" applyFont="1" applyFill="1" applyBorder="1" applyAlignment="1" applyProtection="1">
      <alignment horizontal="center" vertical="center" wrapText="1"/>
    </xf>
    <xf numFmtId="2" fontId="22" fillId="0" borderId="14" xfId="1"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protection locked="0"/>
    </xf>
    <xf numFmtId="0" fontId="25" fillId="0" borderId="14" xfId="0" applyFont="1" applyFill="1" applyBorder="1" applyAlignment="1" applyProtection="1">
      <alignment vertical="center" wrapText="1"/>
      <protection locked="0"/>
    </xf>
    <xf numFmtId="14" fontId="25" fillId="0" borderId="14" xfId="0" applyNumberFormat="1" applyFont="1" applyFill="1" applyBorder="1" applyAlignment="1" applyProtection="1">
      <alignment horizontal="center" vertical="center" wrapText="1"/>
      <protection locked="0"/>
    </xf>
    <xf numFmtId="14" fontId="25" fillId="0" borderId="14" xfId="0" applyNumberFormat="1" applyFont="1" applyFill="1" applyBorder="1" applyAlignment="1" applyProtection="1">
      <alignment vertical="center" wrapText="1"/>
      <protection locked="0"/>
    </xf>
    <xf numFmtId="14" fontId="25" fillId="0" borderId="15" xfId="0" applyNumberFormat="1" applyFont="1" applyFill="1" applyBorder="1" applyAlignment="1" applyProtection="1">
      <alignment vertical="center" wrapText="1"/>
      <protection locked="0"/>
    </xf>
    <xf numFmtId="0" fontId="25" fillId="0" borderId="68" xfId="0" applyFont="1" applyFill="1" applyBorder="1" applyAlignment="1" applyProtection="1">
      <alignment vertical="center" wrapText="1"/>
      <protection locked="0"/>
    </xf>
    <xf numFmtId="14" fontId="25" fillId="0" borderId="54" xfId="0" applyNumberFormat="1" applyFont="1" applyFill="1" applyBorder="1" applyAlignment="1" applyProtection="1">
      <alignment vertical="center" wrapText="1"/>
      <protection locked="0"/>
    </xf>
    <xf numFmtId="14" fontId="25" fillId="0" borderId="56" xfId="0" applyNumberFormat="1" applyFont="1" applyFill="1" applyBorder="1" applyAlignment="1" applyProtection="1">
      <alignment vertical="center" wrapText="1"/>
      <protection locked="0"/>
    </xf>
    <xf numFmtId="14" fontId="25" fillId="0" borderId="40" xfId="0" applyNumberFormat="1" applyFont="1" applyFill="1" applyBorder="1" applyAlignment="1" applyProtection="1">
      <alignment vertical="center" wrapText="1"/>
      <protection locked="0"/>
    </xf>
    <xf numFmtId="14" fontId="25" fillId="0" borderId="3"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center" vertical="center" wrapText="1"/>
      <protection locked="0"/>
    </xf>
    <xf numFmtId="14" fontId="25" fillId="0" borderId="12" xfId="0" applyNumberFormat="1" applyFont="1" applyFill="1" applyBorder="1" applyAlignment="1" applyProtection="1">
      <alignment horizontal="center" vertical="center" wrapText="1"/>
      <protection locked="0"/>
    </xf>
    <xf numFmtId="0" fontId="25" fillId="0" borderId="55" xfId="0" applyFont="1" applyFill="1" applyBorder="1" applyAlignment="1" applyProtection="1">
      <alignment horizontal="center" vertical="center" wrapText="1"/>
      <protection locked="0"/>
    </xf>
    <xf numFmtId="0" fontId="25" fillId="0" borderId="66"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25" fillId="0" borderId="46"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25" fillId="0" borderId="45" xfId="0" applyFont="1" applyFill="1" applyBorder="1" applyAlignment="1" applyProtection="1">
      <alignment horizontal="center" vertical="center" wrapText="1"/>
      <protection locked="0"/>
    </xf>
    <xf numFmtId="0" fontId="22" fillId="0" borderId="46" xfId="3" applyFont="1" applyFill="1" applyBorder="1" applyAlignment="1" applyProtection="1">
      <alignment horizontal="center" vertical="center" wrapText="1"/>
      <protection locked="0"/>
    </xf>
    <xf numFmtId="0" fontId="22" fillId="0" borderId="9" xfId="3" applyFont="1" applyFill="1" applyBorder="1" applyAlignment="1" applyProtection="1">
      <alignment horizontal="center" vertical="center" wrapText="1"/>
      <protection locked="0"/>
    </xf>
    <xf numFmtId="0" fontId="22" fillId="0" borderId="18" xfId="3" applyFont="1" applyFill="1" applyBorder="1" applyAlignment="1" applyProtection="1">
      <alignment horizontal="center" vertical="center" wrapText="1"/>
      <protection locked="0"/>
    </xf>
    <xf numFmtId="0" fontId="22" fillId="0" borderId="44" xfId="3" applyFont="1" applyFill="1" applyBorder="1" applyAlignment="1" applyProtection="1">
      <alignment horizontal="center" vertical="center" wrapText="1"/>
      <protection locked="0"/>
    </xf>
    <xf numFmtId="0" fontId="25" fillId="0" borderId="54" xfId="3" applyFont="1" applyFill="1" applyBorder="1" applyAlignment="1" applyProtection="1">
      <alignment horizontal="center" vertical="center" wrapText="1"/>
      <protection locked="0"/>
    </xf>
    <xf numFmtId="0" fontId="25" fillId="0" borderId="55" xfId="3" applyFont="1" applyFill="1" applyBorder="1" applyAlignment="1" applyProtection="1">
      <alignment horizontal="center" vertical="center" wrapText="1"/>
      <protection locked="0"/>
    </xf>
    <xf numFmtId="0" fontId="25" fillId="0" borderId="65" xfId="3" applyFont="1" applyFill="1" applyBorder="1" applyAlignment="1" applyProtection="1">
      <alignment horizontal="center" vertical="center" wrapText="1"/>
      <protection locked="0"/>
    </xf>
    <xf numFmtId="0" fontId="25" fillId="0" borderId="66" xfId="3" applyFont="1" applyFill="1" applyBorder="1" applyAlignment="1" applyProtection="1">
      <alignment horizontal="center" vertical="center" wrapText="1"/>
      <protection locked="0"/>
    </xf>
    <xf numFmtId="0" fontId="25" fillId="0" borderId="56" xfId="3" applyFont="1" applyFill="1" applyBorder="1" applyAlignment="1" applyProtection="1">
      <alignment horizontal="center" vertical="center" wrapText="1"/>
      <protection locked="0"/>
    </xf>
    <xf numFmtId="0" fontId="25" fillId="0" borderId="57" xfId="3" applyFont="1" applyFill="1" applyBorder="1" applyAlignment="1" applyProtection="1">
      <alignment horizontal="center" vertical="center" wrapText="1"/>
      <protection locked="0"/>
    </xf>
    <xf numFmtId="14" fontId="25" fillId="0" borderId="46" xfId="0" applyNumberFormat="1" applyFont="1" applyFill="1" applyBorder="1" applyAlignment="1" applyProtection="1">
      <alignment horizontal="center" vertical="center" wrapText="1"/>
      <protection locked="0"/>
    </xf>
    <xf numFmtId="14" fontId="25" fillId="0" borderId="18" xfId="0" applyNumberFormat="1" applyFont="1" applyFill="1" applyBorder="1" applyAlignment="1" applyProtection="1">
      <alignment horizontal="center" vertical="center" wrapText="1"/>
      <protection locked="0"/>
    </xf>
    <xf numFmtId="14" fontId="25" fillId="0" borderId="44" xfId="0" applyNumberFormat="1" applyFont="1" applyFill="1" applyBorder="1" applyAlignment="1" applyProtection="1">
      <alignment horizontal="center" vertical="center" wrapText="1"/>
      <protection locked="0"/>
    </xf>
    <xf numFmtId="0" fontId="25" fillId="0" borderId="46" xfId="3" applyFont="1" applyFill="1" applyBorder="1" applyAlignment="1" applyProtection="1">
      <alignment horizontal="center" vertical="center" wrapText="1"/>
      <protection locked="0"/>
    </xf>
    <xf numFmtId="0" fontId="25" fillId="0" borderId="18" xfId="3" applyFont="1" applyFill="1" applyBorder="1" applyAlignment="1" applyProtection="1">
      <alignment horizontal="center" vertical="center" wrapText="1"/>
      <protection locked="0"/>
    </xf>
    <xf numFmtId="0" fontId="25" fillId="0" borderId="44" xfId="3" applyFont="1" applyFill="1" applyBorder="1" applyAlignment="1" applyProtection="1">
      <alignment horizontal="center" vertical="center" wrapText="1"/>
      <protection locked="0"/>
    </xf>
    <xf numFmtId="2" fontId="22" fillId="0" borderId="3" xfId="1" applyNumberFormat="1"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protection locked="0"/>
    </xf>
    <xf numFmtId="2" fontId="22" fillId="0" borderId="12" xfId="1" applyNumberFormat="1" applyFont="1" applyFill="1" applyBorder="1" applyAlignment="1" applyProtection="1">
      <alignment horizontal="center" vertical="center" wrapText="1"/>
      <protection locked="0"/>
    </xf>
    <xf numFmtId="2" fontId="22" fillId="0" borderId="3" xfId="1" applyNumberFormat="1" applyFont="1" applyFill="1" applyBorder="1" applyAlignment="1" applyProtection="1">
      <alignment horizontal="center" vertical="center" wrapText="1"/>
    </xf>
    <xf numFmtId="2" fontId="22" fillId="0" borderId="1"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xf>
    <xf numFmtId="0" fontId="22" fillId="0" borderId="3"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protection locked="0"/>
    </xf>
    <xf numFmtId="0" fontId="22" fillId="0" borderId="12" xfId="3"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xf>
    <xf numFmtId="0" fontId="22" fillId="0" borderId="12" xfId="3"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5" fillId="0" borderId="3"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center" vertical="center" wrapText="1"/>
      <protection locked="0"/>
    </xf>
    <xf numFmtId="0" fontId="25" fillId="0" borderId="12" xfId="3" applyFont="1" applyFill="1" applyBorder="1" applyAlignment="1" applyProtection="1">
      <alignment horizontal="center" vertical="center" wrapText="1"/>
      <protection locked="0"/>
    </xf>
    <xf numFmtId="0" fontId="22" fillId="0" borderId="2" xfId="3" applyFont="1" applyFill="1" applyBorder="1" applyAlignment="1" applyProtection="1">
      <alignment horizontal="center" vertical="center" wrapText="1"/>
      <protection locked="0"/>
    </xf>
    <xf numFmtId="0" fontId="22" fillId="0" borderId="8" xfId="3" applyFont="1" applyFill="1" applyBorder="1" applyAlignment="1" applyProtection="1">
      <alignment horizontal="center" vertical="center" wrapText="1"/>
      <protection locked="0"/>
    </xf>
    <xf numFmtId="0" fontId="22" fillId="0" borderId="11" xfId="3" applyFont="1" applyFill="1" applyBorder="1" applyAlignment="1" applyProtection="1">
      <alignment horizontal="center" vertical="center" wrapText="1"/>
      <protection locked="0"/>
    </xf>
    <xf numFmtId="0" fontId="26" fillId="8" borderId="3" xfId="3" applyFont="1" applyFill="1" applyBorder="1" applyAlignment="1" applyProtection="1">
      <alignment horizontal="center" vertical="center" wrapText="1"/>
      <protection locked="0"/>
    </xf>
    <xf numFmtId="0" fontId="26" fillId="8" borderId="1" xfId="3" applyFont="1" applyFill="1" applyBorder="1" applyAlignment="1" applyProtection="1">
      <alignment horizontal="center" vertical="center" wrapText="1"/>
      <protection locked="0"/>
    </xf>
    <xf numFmtId="0" fontId="26" fillId="8" borderId="12" xfId="3" applyFont="1" applyFill="1" applyBorder="1" applyAlignment="1" applyProtection="1">
      <alignment horizontal="center" vertical="center" wrapText="1"/>
      <protection locked="0"/>
    </xf>
    <xf numFmtId="0" fontId="25" fillId="0" borderId="17" xfId="3" applyFont="1" applyFill="1" applyBorder="1" applyAlignment="1" applyProtection="1">
      <alignment horizontal="center" vertical="center" wrapText="1"/>
      <protection locked="0"/>
    </xf>
    <xf numFmtId="0" fontId="25" fillId="0" borderId="9" xfId="3"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14" fontId="25" fillId="0" borderId="17" xfId="0" applyNumberFormat="1" applyFont="1" applyFill="1" applyBorder="1" applyAlignment="1" applyProtection="1">
      <alignment horizontal="center" vertical="center" wrapText="1"/>
      <protection locked="0"/>
    </xf>
    <xf numFmtId="14" fontId="25" fillId="0" borderId="9" xfId="0" applyNumberFormat="1"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64" xfId="0" applyFont="1" applyFill="1" applyBorder="1" applyAlignment="1" applyProtection="1">
      <alignment horizontal="center" vertical="center" wrapText="1"/>
      <protection locked="0"/>
    </xf>
    <xf numFmtId="14" fontId="25" fillId="0" borderId="42" xfId="0" applyNumberFormat="1" applyFont="1" applyFill="1" applyBorder="1" applyAlignment="1" applyProtection="1">
      <alignment horizontal="center" vertical="center" wrapText="1"/>
      <protection locked="0"/>
    </xf>
    <xf numFmtId="14" fontId="25" fillId="0" borderId="43" xfId="0" applyNumberFormat="1" applyFont="1" applyFill="1" applyBorder="1" applyAlignment="1" applyProtection="1">
      <alignment horizontal="center" vertical="center" wrapText="1"/>
      <protection locked="0"/>
    </xf>
    <xf numFmtId="14" fontId="25" fillId="0" borderId="67"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14" fontId="25" fillId="0" borderId="64" xfId="0" applyNumberFormat="1" applyFont="1" applyFill="1" applyBorder="1" applyAlignment="1" applyProtection="1">
      <alignment horizontal="center" vertical="center" wrapText="1"/>
      <protection locked="0"/>
    </xf>
    <xf numFmtId="2" fontId="22" fillId="0" borderId="46" xfId="1" applyNumberFormat="1" applyFont="1" applyFill="1" applyBorder="1" applyAlignment="1" applyProtection="1">
      <alignment horizontal="center" vertical="center" wrapText="1"/>
    </xf>
    <xf numFmtId="2" fontId="22" fillId="0" borderId="18" xfId="1" applyNumberFormat="1" applyFont="1" applyFill="1" applyBorder="1" applyAlignment="1" applyProtection="1">
      <alignment horizontal="center" vertical="center" wrapText="1"/>
    </xf>
    <xf numFmtId="2" fontId="22" fillId="0" borderId="44" xfId="1" applyNumberFormat="1" applyFont="1" applyFill="1" applyBorder="1" applyAlignment="1" applyProtection="1">
      <alignment horizontal="center" vertical="center" wrapText="1"/>
    </xf>
    <xf numFmtId="2" fontId="22" fillId="0" borderId="46" xfId="1" applyNumberFormat="1" applyFont="1" applyFill="1" applyBorder="1" applyAlignment="1" applyProtection="1">
      <alignment horizontal="center" vertical="center" wrapText="1"/>
      <protection locked="0"/>
    </xf>
    <xf numFmtId="2" fontId="22" fillId="0" borderId="18" xfId="1" applyNumberFormat="1" applyFont="1" applyFill="1" applyBorder="1" applyAlignment="1" applyProtection="1">
      <alignment horizontal="center" vertical="center" wrapText="1"/>
      <protection locked="0"/>
    </xf>
    <xf numFmtId="2" fontId="22" fillId="0" borderId="44" xfId="1" applyNumberFormat="1" applyFont="1" applyFill="1" applyBorder="1" applyAlignment="1" applyProtection="1">
      <alignment horizontal="center" vertical="center" wrapText="1"/>
      <protection locked="0"/>
    </xf>
    <xf numFmtId="0" fontId="25" fillId="17" borderId="3" xfId="3" applyFont="1" applyFill="1" applyBorder="1" applyAlignment="1" applyProtection="1">
      <alignment horizontal="center" vertical="center" wrapText="1"/>
      <protection locked="0"/>
    </xf>
    <xf numFmtId="0" fontId="25" fillId="17" borderId="1" xfId="3" applyFont="1" applyFill="1" applyBorder="1" applyAlignment="1" applyProtection="1">
      <alignment horizontal="center" vertical="center" wrapText="1"/>
      <protection locked="0"/>
    </xf>
    <xf numFmtId="0" fontId="22" fillId="17" borderId="2" xfId="3" applyFont="1" applyFill="1" applyBorder="1" applyAlignment="1" applyProtection="1">
      <alignment horizontal="center" vertical="center" wrapText="1"/>
      <protection locked="0"/>
    </xf>
    <xf numFmtId="0" fontId="22" fillId="17" borderId="8" xfId="3" applyFont="1" applyFill="1" applyBorder="1" applyAlignment="1" applyProtection="1">
      <alignment horizontal="center" vertical="center" wrapText="1"/>
      <protection locked="0"/>
    </xf>
    <xf numFmtId="0" fontId="22" fillId="17" borderId="11" xfId="3"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44" xfId="0" applyFont="1" applyFill="1" applyBorder="1" applyAlignment="1" applyProtection="1">
      <alignment horizontal="center" vertical="center" wrapText="1"/>
      <protection locked="0"/>
    </xf>
    <xf numFmtId="0" fontId="32" fillId="0" borderId="46"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32" fillId="0" borderId="44" xfId="0" applyFont="1" applyFill="1" applyBorder="1" applyAlignment="1" applyProtection="1">
      <alignment horizontal="center" vertical="center" wrapText="1"/>
      <protection locked="0"/>
    </xf>
    <xf numFmtId="14" fontId="27" fillId="0" borderId="46" xfId="0" applyNumberFormat="1" applyFont="1" applyFill="1" applyBorder="1" applyAlignment="1" applyProtection="1">
      <alignment horizontal="center" vertical="center" wrapText="1"/>
      <protection locked="0"/>
    </xf>
    <xf numFmtId="14" fontId="27" fillId="0" borderId="18" xfId="0" applyNumberFormat="1" applyFont="1" applyFill="1" applyBorder="1" applyAlignment="1" applyProtection="1">
      <alignment horizontal="center" vertical="center" wrapText="1"/>
      <protection locked="0"/>
    </xf>
    <xf numFmtId="14" fontId="27" fillId="0" borderId="44" xfId="0" applyNumberFormat="1" applyFont="1" applyFill="1" applyBorder="1" applyAlignment="1" applyProtection="1">
      <alignment horizontal="center" vertical="center" wrapText="1"/>
      <protection locked="0"/>
    </xf>
    <xf numFmtId="14" fontId="27" fillId="0" borderId="42" xfId="0" applyNumberFormat="1" applyFont="1" applyFill="1" applyBorder="1" applyAlignment="1" applyProtection="1">
      <alignment horizontal="center" vertical="center" wrapText="1"/>
      <protection locked="0"/>
    </xf>
    <xf numFmtId="14" fontId="27" fillId="0" borderId="43" xfId="0" applyNumberFormat="1" applyFont="1" applyFill="1" applyBorder="1" applyAlignment="1" applyProtection="1">
      <alignment horizontal="center" vertical="center" wrapText="1"/>
      <protection locked="0"/>
    </xf>
    <xf numFmtId="14" fontId="27" fillId="0" borderId="45" xfId="0" applyNumberFormat="1" applyFont="1" applyFill="1" applyBorder="1" applyAlignment="1" applyProtection="1">
      <alignment horizontal="center" vertical="center" wrapText="1"/>
      <protection locked="0"/>
    </xf>
    <xf numFmtId="0" fontId="27" fillId="0" borderId="46" xfId="3" applyFont="1" applyFill="1" applyBorder="1" applyAlignment="1" applyProtection="1">
      <alignment horizontal="center" vertical="center" wrapText="1"/>
      <protection locked="0"/>
    </xf>
    <xf numFmtId="0" fontId="27" fillId="0" borderId="9" xfId="3" applyFont="1" applyFill="1" applyBorder="1" applyAlignment="1" applyProtection="1">
      <alignment horizontal="center" vertical="center" wrapText="1"/>
      <protection locked="0"/>
    </xf>
    <xf numFmtId="0" fontId="27" fillId="0" borderId="54" xfId="3" applyFont="1" applyFill="1" applyBorder="1" applyAlignment="1" applyProtection="1">
      <alignment horizontal="center" vertical="center" wrapText="1"/>
      <protection locked="0"/>
    </xf>
    <xf numFmtId="0" fontId="27" fillId="0" borderId="55" xfId="3" applyFont="1" applyFill="1" applyBorder="1" applyAlignment="1" applyProtection="1">
      <alignment horizontal="center" vertical="center" wrapText="1"/>
      <protection locked="0"/>
    </xf>
    <xf numFmtId="0" fontId="27" fillId="0" borderId="61" xfId="3" applyFont="1" applyFill="1" applyBorder="1" applyAlignment="1" applyProtection="1">
      <alignment horizontal="center" vertical="center" wrapText="1"/>
      <protection locked="0"/>
    </xf>
    <xf numFmtId="0" fontId="27" fillId="0" borderId="62" xfId="3" applyFont="1" applyFill="1" applyBorder="1" applyAlignment="1" applyProtection="1">
      <alignment horizontal="center" vertical="center" wrapText="1"/>
      <protection locked="0"/>
    </xf>
    <xf numFmtId="0" fontId="32" fillId="0" borderId="46" xfId="3" applyFont="1" applyFill="1" applyBorder="1" applyAlignment="1" applyProtection="1">
      <alignment horizontal="center" vertical="center" wrapText="1"/>
      <protection locked="0"/>
    </xf>
    <xf numFmtId="0" fontId="32" fillId="0" borderId="9" xfId="3" applyFont="1" applyFill="1" applyBorder="1" applyAlignment="1" applyProtection="1">
      <alignment horizontal="center" vertical="center" wrapText="1"/>
      <protection locked="0"/>
    </xf>
    <xf numFmtId="14" fontId="25" fillId="0" borderId="45" xfId="0" applyNumberFormat="1" applyFont="1" applyFill="1" applyBorder="1" applyAlignment="1" applyProtection="1">
      <alignment horizontal="center" vertical="center" wrapText="1"/>
      <protection locked="0"/>
    </xf>
    <xf numFmtId="0" fontId="25" fillId="0" borderId="14" xfId="3" applyFont="1" applyFill="1" applyBorder="1" applyAlignment="1" applyProtection="1">
      <alignment horizontal="center" vertical="center" wrapText="1"/>
      <protection locked="0"/>
    </xf>
    <xf numFmtId="2" fontId="32" fillId="0" borderId="3" xfId="1" applyNumberFormat="1" applyFont="1" applyFill="1" applyBorder="1" applyAlignment="1" applyProtection="1">
      <alignment horizontal="center" vertical="center" wrapText="1"/>
      <protection locked="0"/>
    </xf>
    <xf numFmtId="2" fontId="32" fillId="0" borderId="1" xfId="1" applyNumberFormat="1" applyFont="1" applyFill="1" applyBorder="1" applyAlignment="1" applyProtection="1">
      <alignment horizontal="center" vertical="center" wrapText="1"/>
      <protection locked="0"/>
    </xf>
    <xf numFmtId="2" fontId="32" fillId="0" borderId="12" xfId="1" applyNumberFormat="1" applyFont="1" applyFill="1" applyBorder="1" applyAlignment="1" applyProtection="1">
      <alignment horizontal="center" vertical="center" wrapText="1"/>
      <protection locked="0"/>
    </xf>
    <xf numFmtId="2" fontId="32" fillId="0" borderId="3" xfId="1" applyNumberFormat="1" applyFont="1" applyFill="1" applyBorder="1" applyAlignment="1" applyProtection="1">
      <alignment horizontal="center" vertical="center" wrapText="1"/>
    </xf>
    <xf numFmtId="2" fontId="32" fillId="0" borderId="1" xfId="1" applyNumberFormat="1" applyFont="1" applyFill="1" applyBorder="1" applyAlignment="1" applyProtection="1">
      <alignment horizontal="center" vertical="center" wrapText="1"/>
    </xf>
    <xf numFmtId="2" fontId="32" fillId="0" borderId="12" xfId="1" applyNumberFormat="1" applyFont="1" applyFill="1" applyBorder="1" applyAlignment="1" applyProtection="1">
      <alignment horizontal="center" vertical="center" wrapText="1"/>
    </xf>
    <xf numFmtId="0" fontId="32" fillId="0" borderId="3" xfId="3" applyFont="1" applyFill="1" applyBorder="1" applyAlignment="1" applyProtection="1">
      <alignment horizontal="center" vertical="center" wrapText="1"/>
      <protection locked="0"/>
    </xf>
    <xf numFmtId="0" fontId="32" fillId="0" borderId="1" xfId="3" applyFont="1" applyFill="1" applyBorder="1" applyAlignment="1" applyProtection="1">
      <alignment horizontal="center" vertical="center" wrapText="1"/>
      <protection locked="0"/>
    </xf>
    <xf numFmtId="0" fontId="32" fillId="0" borderId="12" xfId="3" applyFont="1" applyFill="1" applyBorder="1" applyAlignment="1" applyProtection="1">
      <alignment horizontal="center" vertical="center" wrapText="1"/>
      <protection locked="0"/>
    </xf>
    <xf numFmtId="0" fontId="32" fillId="0" borderId="3" xfId="3" applyFont="1" applyFill="1" applyBorder="1" applyAlignment="1" applyProtection="1">
      <alignment horizontal="center" vertical="center" wrapText="1"/>
    </xf>
    <xf numFmtId="0" fontId="32" fillId="0" borderId="1" xfId="3" applyFont="1" applyFill="1" applyBorder="1" applyAlignment="1" applyProtection="1">
      <alignment horizontal="center" vertical="center" wrapText="1"/>
    </xf>
    <xf numFmtId="0" fontId="32" fillId="0" borderId="12" xfId="3" applyFont="1" applyFill="1" applyBorder="1" applyAlignment="1" applyProtection="1">
      <alignment horizontal="center" vertical="center" wrapText="1"/>
    </xf>
    <xf numFmtId="0" fontId="32" fillId="0" borderId="3"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32" fillId="0" borderId="12" xfId="0" applyFont="1" applyFill="1" applyBorder="1" applyAlignment="1" applyProtection="1">
      <alignment horizontal="center" vertical="center" wrapText="1"/>
    </xf>
    <xf numFmtId="0" fontId="32" fillId="0" borderId="3"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27" fillId="0" borderId="1" xfId="3" applyFont="1" applyFill="1" applyBorder="1" applyAlignment="1" applyProtection="1">
      <alignment horizontal="center" vertical="center" wrapText="1"/>
      <protection locked="0"/>
    </xf>
    <xf numFmtId="0" fontId="27" fillId="0" borderId="12" xfId="3" applyFont="1" applyFill="1" applyBorder="1" applyAlignment="1" applyProtection="1">
      <alignment horizontal="center" vertical="center" wrapText="1"/>
      <protection locked="0"/>
    </xf>
    <xf numFmtId="2" fontId="32" fillId="0" borderId="46" xfId="1" applyNumberFormat="1" applyFont="1" applyFill="1" applyBorder="1" applyAlignment="1" applyProtection="1">
      <alignment horizontal="center" vertical="center" wrapText="1"/>
    </xf>
    <xf numFmtId="2" fontId="32" fillId="0" borderId="9" xfId="1" applyNumberFormat="1" applyFont="1" applyFill="1" applyBorder="1" applyAlignment="1" applyProtection="1">
      <alignment horizontal="center" vertical="center" wrapText="1"/>
    </xf>
    <xf numFmtId="2" fontId="32" fillId="0" borderId="46" xfId="1" applyNumberFormat="1" applyFont="1" applyFill="1" applyBorder="1" applyAlignment="1" applyProtection="1">
      <alignment horizontal="center" vertical="center" wrapText="1"/>
      <protection locked="0"/>
    </xf>
    <xf numFmtId="2" fontId="32" fillId="0" borderId="9" xfId="1" applyNumberFormat="1" applyFont="1" applyFill="1" applyBorder="1" applyAlignment="1" applyProtection="1">
      <alignment horizontal="center" vertical="center" wrapText="1"/>
      <protection locked="0"/>
    </xf>
    <xf numFmtId="0" fontId="32" fillId="0" borderId="2" xfId="3" applyFont="1" applyFill="1" applyBorder="1" applyAlignment="1" applyProtection="1">
      <alignment horizontal="center" vertical="center" wrapText="1"/>
      <protection locked="0"/>
    </xf>
    <xf numFmtId="0" fontId="32" fillId="0" borderId="8" xfId="3" applyFont="1" applyFill="1" applyBorder="1" applyAlignment="1" applyProtection="1">
      <alignment horizontal="center" vertical="center" wrapText="1"/>
      <protection locked="0"/>
    </xf>
    <xf numFmtId="0" fontId="32" fillId="0" borderId="11" xfId="3" applyFont="1" applyFill="1" applyBorder="1" applyAlignment="1" applyProtection="1">
      <alignment horizontal="center" vertical="center" wrapText="1"/>
      <protection locked="0"/>
    </xf>
    <xf numFmtId="0" fontId="27" fillId="0" borderId="3" xfId="3" applyFont="1" applyFill="1" applyBorder="1" applyAlignment="1" applyProtection="1">
      <alignment horizontal="center" vertical="center" wrapText="1"/>
      <protection locked="0"/>
    </xf>
    <xf numFmtId="0" fontId="27" fillId="0" borderId="18" xfId="3" applyFont="1" applyFill="1" applyBorder="1" applyAlignment="1" applyProtection="1">
      <alignment horizontal="center" vertical="center" wrapText="1"/>
      <protection locked="0"/>
    </xf>
    <xf numFmtId="0" fontId="27" fillId="0" borderId="44" xfId="3" applyFont="1" applyFill="1" applyBorder="1" applyAlignment="1" applyProtection="1">
      <alignment horizontal="center" vertical="center" wrapText="1"/>
      <protection locked="0"/>
    </xf>
    <xf numFmtId="0" fontId="27" fillId="19" borderId="3" xfId="3" applyFont="1" applyFill="1" applyBorder="1" applyAlignment="1" applyProtection="1">
      <alignment horizontal="center" vertical="center" wrapText="1"/>
      <protection locked="0"/>
    </xf>
    <xf numFmtId="0" fontId="27" fillId="19" borderId="1" xfId="3" applyFont="1" applyFill="1" applyBorder="1" applyAlignment="1" applyProtection="1">
      <alignment horizontal="center" vertical="center" wrapText="1"/>
      <protection locked="0"/>
    </xf>
    <xf numFmtId="0" fontId="27" fillId="19" borderId="12" xfId="3" applyFont="1" applyFill="1" applyBorder="1" applyAlignment="1" applyProtection="1">
      <alignment horizontal="center" vertical="center" wrapText="1"/>
      <protection locked="0"/>
    </xf>
    <xf numFmtId="0" fontId="35" fillId="17" borderId="1" xfId="3" applyFont="1" applyFill="1" applyBorder="1" applyAlignment="1" applyProtection="1">
      <alignment horizontal="center" vertical="center" wrapText="1"/>
      <protection locked="0"/>
    </xf>
    <xf numFmtId="0" fontId="25" fillId="0" borderId="40" xfId="3" applyFont="1" applyFill="1" applyBorder="1" applyAlignment="1" applyProtection="1">
      <alignment horizontal="center" vertical="center" wrapText="1"/>
      <protection locked="0"/>
    </xf>
    <xf numFmtId="0" fontId="25" fillId="0" borderId="41" xfId="3" applyFont="1" applyFill="1" applyBorder="1" applyAlignment="1" applyProtection="1">
      <alignment horizontal="center" vertical="center" wrapText="1"/>
      <protection locked="0"/>
    </xf>
    <xf numFmtId="0" fontId="25" fillId="0" borderId="46" xfId="3" applyFont="1" applyFill="1" applyBorder="1" applyAlignment="1" applyProtection="1">
      <alignment horizontal="left" vertical="center" wrapText="1"/>
      <protection locked="0"/>
    </xf>
    <xf numFmtId="0" fontId="25" fillId="0" borderId="9" xfId="3" applyFont="1" applyFill="1" applyBorder="1" applyAlignment="1" applyProtection="1">
      <alignment horizontal="left" vertical="center" wrapText="1"/>
      <protection locked="0"/>
    </xf>
    <xf numFmtId="0" fontId="25" fillId="0" borderId="46"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2" fontId="22" fillId="0" borderId="17" xfId="1" applyNumberFormat="1" applyFont="1" applyFill="1" applyBorder="1" applyAlignment="1" applyProtection="1">
      <alignment horizontal="center" vertical="center" wrapText="1"/>
      <protection locked="0"/>
    </xf>
    <xf numFmtId="2" fontId="22" fillId="0" borderId="17" xfId="1" applyNumberFormat="1" applyFont="1" applyFill="1" applyBorder="1" applyAlignment="1" applyProtection="1">
      <alignment horizontal="center" vertical="center" wrapText="1"/>
    </xf>
    <xf numFmtId="0" fontId="22" fillId="0" borderId="17" xfId="3" applyFont="1" applyFill="1" applyBorder="1" applyAlignment="1" applyProtection="1">
      <alignment horizontal="center" vertical="center" wrapText="1"/>
      <protection locked="0"/>
    </xf>
    <xf numFmtId="0" fontId="22" fillId="0" borderId="17" xfId="3"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protection locked="0"/>
    </xf>
    <xf numFmtId="0" fontId="25" fillId="17" borderId="3" xfId="3" applyFont="1" applyFill="1" applyBorder="1" applyAlignment="1" applyProtection="1">
      <alignment horizontal="left" vertical="center" wrapText="1"/>
      <protection locked="0"/>
    </xf>
    <xf numFmtId="0" fontId="25" fillId="17" borderId="1" xfId="3" applyFont="1" applyFill="1" applyBorder="1" applyAlignment="1" applyProtection="1">
      <alignment horizontal="left" vertical="center" wrapText="1"/>
      <protection locked="0"/>
    </xf>
    <xf numFmtId="0" fontId="22" fillId="17" borderId="50" xfId="3" applyFont="1" applyFill="1" applyBorder="1" applyAlignment="1" applyProtection="1">
      <alignment horizontal="center" vertical="center" wrapText="1"/>
      <protection locked="0"/>
    </xf>
    <xf numFmtId="0" fontId="22" fillId="17" borderId="3" xfId="3" applyFont="1" applyFill="1" applyBorder="1" applyAlignment="1" applyProtection="1">
      <alignment horizontal="center" vertical="center" wrapText="1"/>
      <protection locked="0"/>
    </xf>
    <xf numFmtId="0" fontId="22" fillId="17" borderId="1" xfId="3" applyFont="1" applyFill="1" applyBorder="1" applyAlignment="1" applyProtection="1">
      <alignment horizontal="center" vertical="center" wrapText="1"/>
      <protection locked="0"/>
    </xf>
    <xf numFmtId="0" fontId="22" fillId="17" borderId="17" xfId="3" applyFont="1" applyFill="1" applyBorder="1" applyAlignment="1" applyProtection="1">
      <alignment horizontal="center" vertical="center" wrapText="1"/>
      <protection locked="0"/>
    </xf>
    <xf numFmtId="0" fontId="25" fillId="17" borderId="17" xfId="3" applyFont="1" applyFill="1" applyBorder="1" applyAlignment="1" applyProtection="1">
      <alignment horizontal="center" vertical="center" wrapText="1"/>
      <protection locked="0"/>
    </xf>
    <xf numFmtId="0" fontId="26" fillId="17" borderId="3" xfId="3" applyFont="1" applyFill="1" applyBorder="1" applyAlignment="1" applyProtection="1">
      <alignment horizontal="center" vertical="center" wrapText="1"/>
      <protection locked="0"/>
    </xf>
    <xf numFmtId="0" fontId="26" fillId="17" borderId="1" xfId="3" applyFont="1" applyFill="1" applyBorder="1" applyAlignment="1" applyProtection="1">
      <alignment horizontal="center" vertical="center" wrapText="1"/>
      <protection locked="0"/>
    </xf>
    <xf numFmtId="0" fontId="26" fillId="17" borderId="17"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left" vertical="center" wrapText="1"/>
      <protection locked="0"/>
    </xf>
    <xf numFmtId="0" fontId="22" fillId="17" borderId="12" xfId="3" applyFont="1" applyFill="1" applyBorder="1" applyAlignment="1" applyProtection="1">
      <alignment horizontal="center" vertical="center" wrapText="1"/>
      <protection locked="0"/>
    </xf>
    <xf numFmtId="0" fontId="25" fillId="17" borderId="12" xfId="3" applyFont="1" applyFill="1" applyBorder="1" applyAlignment="1" applyProtection="1">
      <alignment horizontal="center" vertical="center" wrapText="1"/>
      <protection locked="0"/>
    </xf>
    <xf numFmtId="0" fontId="25" fillId="0" borderId="12" xfId="3" applyFont="1" applyFill="1" applyBorder="1" applyAlignment="1" applyProtection="1">
      <alignment horizontal="left" vertical="center" wrapText="1"/>
      <protection locked="0"/>
    </xf>
    <xf numFmtId="0" fontId="25" fillId="4" borderId="3" xfId="3" applyFont="1" applyFill="1" applyBorder="1" applyAlignment="1" applyProtection="1">
      <alignment horizontal="center" vertical="center" wrapText="1"/>
      <protection locked="0"/>
    </xf>
    <xf numFmtId="0" fontId="25" fillId="4" borderId="1" xfId="3" applyFont="1" applyFill="1" applyBorder="1" applyAlignment="1" applyProtection="1">
      <alignment horizontal="center" vertical="center" wrapText="1"/>
      <protection locked="0"/>
    </xf>
    <xf numFmtId="0" fontId="25" fillId="4" borderId="12" xfId="3" applyFont="1" applyFill="1" applyBorder="1" applyAlignment="1" applyProtection="1">
      <alignment horizontal="center" vertical="center" wrapText="1"/>
      <protection locked="0"/>
    </xf>
    <xf numFmtId="0" fontId="22" fillId="17" borderId="46" xfId="3" applyFont="1" applyFill="1" applyBorder="1" applyAlignment="1" applyProtection="1">
      <alignment horizontal="center" vertical="center" wrapText="1"/>
      <protection locked="0"/>
    </xf>
    <xf numFmtId="0" fontId="22" fillId="17" borderId="18" xfId="3" applyFont="1" applyFill="1" applyBorder="1" applyAlignment="1" applyProtection="1">
      <alignment horizontal="center" vertical="center" wrapText="1"/>
      <protection locked="0"/>
    </xf>
    <xf numFmtId="0" fontId="22" fillId="17" borderId="44" xfId="3"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7" fillId="0" borderId="0"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25" fillId="17" borderId="46" xfId="3" applyFont="1" applyFill="1" applyBorder="1" applyAlignment="1" applyProtection="1">
      <alignment horizontal="center" vertical="center" wrapText="1"/>
      <protection locked="0"/>
    </xf>
    <xf numFmtId="0" fontId="25" fillId="17" borderId="44" xfId="3" applyFont="1" applyFill="1" applyBorder="1" applyAlignment="1" applyProtection="1">
      <alignment horizontal="center" vertical="center" wrapText="1"/>
      <protection locked="0"/>
    </xf>
    <xf numFmtId="0" fontId="26" fillId="17" borderId="12" xfId="3" applyFont="1" applyFill="1" applyBorder="1" applyAlignment="1" applyProtection="1">
      <alignment horizontal="center" vertical="center" wrapText="1"/>
      <protection locked="0"/>
    </xf>
    <xf numFmtId="0" fontId="22" fillId="17" borderId="3" xfId="3" applyFont="1" applyFill="1" applyBorder="1" applyAlignment="1" applyProtection="1">
      <alignment horizontal="center" vertical="center" wrapText="1"/>
    </xf>
    <xf numFmtId="0" fontId="22" fillId="17" borderId="12" xfId="3" applyFont="1" applyFill="1" applyBorder="1" applyAlignment="1" applyProtection="1">
      <alignment horizontal="center" vertical="center" wrapText="1"/>
    </xf>
    <xf numFmtId="0" fontId="22" fillId="17" borderId="3" xfId="0" applyFont="1" applyFill="1" applyBorder="1" applyAlignment="1" applyProtection="1">
      <alignment horizontal="center" vertical="center" wrapText="1"/>
      <protection locked="0"/>
    </xf>
    <xf numFmtId="0" fontId="22" fillId="17" borderId="12" xfId="0" applyFont="1" applyFill="1" applyBorder="1" applyAlignment="1" applyProtection="1">
      <alignment horizontal="center" vertical="center" wrapText="1"/>
      <protection locked="0"/>
    </xf>
    <xf numFmtId="2" fontId="22" fillId="17" borderId="3" xfId="1" applyNumberFormat="1" applyFont="1" applyFill="1" applyBorder="1" applyAlignment="1" applyProtection="1">
      <alignment horizontal="center" vertical="center" wrapText="1"/>
    </xf>
    <xf numFmtId="2" fontId="22" fillId="17" borderId="12" xfId="1" applyNumberFormat="1" applyFont="1" applyFill="1" applyBorder="1" applyAlignment="1" applyProtection="1">
      <alignment horizontal="center" vertical="center" wrapText="1"/>
    </xf>
    <xf numFmtId="2" fontId="22" fillId="17" borderId="3" xfId="1" applyNumberFormat="1" applyFont="1" applyFill="1" applyBorder="1" applyAlignment="1" applyProtection="1">
      <alignment horizontal="center" vertical="center" wrapText="1"/>
      <protection locked="0"/>
    </xf>
    <xf numFmtId="2" fontId="22" fillId="17" borderId="12" xfId="1" applyNumberFormat="1" applyFont="1" applyFill="1" applyBorder="1" applyAlignment="1" applyProtection="1">
      <alignment horizontal="center" vertical="center" wrapText="1"/>
      <protection locked="0"/>
    </xf>
    <xf numFmtId="0" fontId="25" fillId="17" borderId="40" xfId="3" applyFont="1" applyFill="1" applyBorder="1" applyAlignment="1" applyProtection="1">
      <alignment horizontal="center" vertical="center" wrapText="1"/>
      <protection locked="0"/>
    </xf>
    <xf numFmtId="0" fontId="25" fillId="17" borderId="41" xfId="3" applyFont="1" applyFill="1" applyBorder="1" applyAlignment="1" applyProtection="1">
      <alignment horizontal="center" vertical="center" wrapText="1"/>
      <protection locked="0"/>
    </xf>
    <xf numFmtId="0" fontId="25" fillId="17" borderId="52" xfId="3" applyFont="1" applyFill="1" applyBorder="1" applyAlignment="1" applyProtection="1">
      <alignment horizontal="center" vertical="center" wrapText="1"/>
      <protection locked="0"/>
    </xf>
    <xf numFmtId="0" fontId="25" fillId="17" borderId="53" xfId="3" applyFont="1" applyFill="1" applyBorder="1" applyAlignment="1" applyProtection="1">
      <alignment horizontal="center" vertical="center" wrapText="1"/>
      <protection locked="0"/>
    </xf>
    <xf numFmtId="0" fontId="25" fillId="6" borderId="3" xfId="3" applyFont="1" applyFill="1" applyBorder="1" applyAlignment="1" applyProtection="1">
      <alignment horizontal="center" vertical="center" wrapText="1"/>
      <protection locked="0"/>
    </xf>
    <xf numFmtId="0" fontId="25" fillId="6" borderId="1" xfId="3" applyFont="1" applyFill="1" applyBorder="1" applyAlignment="1" applyProtection="1">
      <alignment horizontal="center" vertical="center" wrapText="1"/>
      <protection locked="0"/>
    </xf>
    <xf numFmtId="0" fontId="25" fillId="6" borderId="17" xfId="3" applyFont="1" applyFill="1" applyBorder="1" applyAlignment="1" applyProtection="1">
      <alignment horizontal="center" vertical="center" wrapText="1"/>
      <protection locked="0"/>
    </xf>
    <xf numFmtId="0" fontId="22" fillId="0" borderId="50" xfId="3"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16" borderId="3" xfId="0" applyFont="1" applyFill="1" applyBorder="1" applyAlignment="1" applyProtection="1">
      <alignment horizontal="center" vertical="center" wrapText="1"/>
    </xf>
    <xf numFmtId="0" fontId="6" fillId="16" borderId="1"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2" borderId="3"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16" borderId="17" xfId="0" applyFont="1" applyFill="1" applyBorder="1" applyAlignment="1" applyProtection="1">
      <alignment horizontal="center" vertical="center" wrapText="1"/>
    </xf>
    <xf numFmtId="0" fontId="6" fillId="16" borderId="44" xfId="0" applyFont="1" applyFill="1" applyBorder="1" applyAlignment="1" applyProtection="1">
      <alignment horizontal="center" vertical="center" wrapText="1"/>
    </xf>
    <xf numFmtId="0" fontId="22" fillId="17" borderId="46" xfId="0" applyFont="1" applyFill="1" applyBorder="1" applyAlignment="1" applyProtection="1">
      <alignment horizontal="center" vertical="center" wrapText="1"/>
      <protection locked="0"/>
    </xf>
    <xf numFmtId="0" fontId="22" fillId="17" borderId="44"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25" fillId="0" borderId="47" xfId="0" applyFont="1" applyFill="1" applyBorder="1" applyAlignment="1" applyProtection="1">
      <alignment horizontal="center" vertical="center" wrapText="1"/>
      <protection locked="0"/>
    </xf>
    <xf numFmtId="0" fontId="25" fillId="0" borderId="48" xfId="0" applyFont="1" applyFill="1" applyBorder="1" applyAlignment="1" applyProtection="1">
      <alignment horizontal="center" vertical="center" wrapText="1"/>
      <protection locked="0"/>
    </xf>
    <xf numFmtId="0" fontId="25" fillId="0" borderId="49"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14" fontId="25" fillId="0" borderId="21" xfId="0" applyNumberFormat="1"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horizontal="center" vertical="center" wrapText="1"/>
      <protection locked="0"/>
    </xf>
    <xf numFmtId="14" fontId="25" fillId="0" borderId="24" xfId="0" applyNumberFormat="1" applyFont="1" applyFill="1" applyBorder="1" applyAlignment="1" applyProtection="1">
      <alignment horizontal="center" vertical="center" wrapText="1"/>
      <protection locked="0"/>
    </xf>
    <xf numFmtId="0" fontId="22" fillId="0" borderId="46" xfId="0" applyFont="1" applyFill="1" applyBorder="1" applyAlignment="1" applyProtection="1">
      <alignment horizontal="center" vertical="center" wrapText="1"/>
    </xf>
    <xf numFmtId="0" fontId="22" fillId="0" borderId="44" xfId="0" applyFont="1" applyFill="1" applyBorder="1" applyAlignment="1" applyProtection="1">
      <alignment horizontal="center" vertical="center" wrapText="1"/>
    </xf>
    <xf numFmtId="0" fontId="22" fillId="0" borderId="46" xfId="0" applyFont="1" applyFill="1" applyBorder="1" applyAlignment="1" applyProtection="1">
      <alignment horizontal="center" vertical="center" wrapText="1"/>
      <protection locked="0"/>
    </xf>
    <xf numFmtId="0" fontId="22" fillId="0" borderId="44" xfId="0" applyFont="1" applyFill="1" applyBorder="1" applyAlignment="1" applyProtection="1">
      <alignment horizontal="center" vertical="center" wrapText="1"/>
      <protection locked="0"/>
    </xf>
    <xf numFmtId="0" fontId="25" fillId="0" borderId="58" xfId="3" applyFont="1" applyFill="1" applyBorder="1" applyAlignment="1" applyProtection="1">
      <alignment horizontal="center" vertical="center" wrapText="1"/>
      <protection locked="0"/>
    </xf>
    <xf numFmtId="0" fontId="25" fillId="0" borderId="59" xfId="3" applyFont="1" applyFill="1" applyBorder="1" applyAlignment="1" applyProtection="1">
      <alignment horizontal="center" vertical="center" wrapText="1"/>
      <protection locked="0"/>
    </xf>
    <xf numFmtId="0" fontId="22" fillId="0" borderId="47" xfId="3" applyFont="1" applyFill="1" applyBorder="1" applyAlignment="1" applyProtection="1">
      <alignment horizontal="center" vertical="center" wrapText="1"/>
      <protection locked="0"/>
    </xf>
    <xf numFmtId="0" fontId="22" fillId="0" borderId="49" xfId="3" applyFont="1" applyFill="1" applyBorder="1" applyAlignment="1" applyProtection="1">
      <alignment horizontal="center" vertical="center" wrapText="1"/>
      <protection locked="0"/>
    </xf>
    <xf numFmtId="0" fontId="22" fillId="0" borderId="48" xfId="3" applyFont="1" applyFill="1" applyBorder="1" applyAlignment="1" applyProtection="1">
      <alignment horizontal="center" vertical="center" wrapText="1"/>
      <protection locked="0"/>
    </xf>
    <xf numFmtId="0" fontId="26" fillId="8" borderId="46" xfId="3" applyFont="1" applyFill="1" applyBorder="1" applyAlignment="1" applyProtection="1">
      <alignment horizontal="center" vertical="center" wrapText="1"/>
      <protection locked="0"/>
    </xf>
    <xf numFmtId="0" fontId="26" fillId="8" borderId="18" xfId="3" applyFont="1" applyFill="1" applyBorder="1" applyAlignment="1" applyProtection="1">
      <alignment horizontal="center" vertical="center" wrapText="1"/>
      <protection locked="0"/>
    </xf>
    <xf numFmtId="0" fontId="26" fillId="8" borderId="44" xfId="3" applyFont="1" applyFill="1" applyBorder="1" applyAlignment="1" applyProtection="1">
      <alignment horizontal="center" vertical="center" wrapText="1"/>
      <protection locked="0"/>
    </xf>
    <xf numFmtId="0" fontId="22" fillId="0" borderId="46" xfId="3" applyFont="1" applyFill="1" applyBorder="1" applyAlignment="1" applyProtection="1">
      <alignment horizontal="center" vertical="center" wrapText="1"/>
    </xf>
    <xf numFmtId="0" fontId="22" fillId="0" borderId="18" xfId="3" applyFont="1" applyFill="1" applyBorder="1" applyAlignment="1" applyProtection="1">
      <alignment horizontal="center" vertical="center" wrapText="1"/>
    </xf>
    <xf numFmtId="0" fontId="22" fillId="0" borderId="44" xfId="3"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protection locked="0"/>
    </xf>
    <xf numFmtId="0" fontId="25" fillId="0" borderId="52" xfId="3" applyFont="1" applyFill="1" applyBorder="1" applyAlignment="1" applyProtection="1">
      <alignment horizontal="center" vertical="center" wrapText="1"/>
      <protection locked="0"/>
    </xf>
    <xf numFmtId="0" fontId="25" fillId="0" borderId="53" xfId="3"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xf>
    <xf numFmtId="0" fontId="22" fillId="18" borderId="3" xfId="3" applyFont="1" applyFill="1" applyBorder="1" applyAlignment="1" applyProtection="1">
      <alignment horizontal="center" vertical="center" wrapText="1"/>
    </xf>
    <xf numFmtId="0" fontId="22" fillId="18" borderId="1" xfId="3" applyFont="1" applyFill="1" applyBorder="1" applyAlignment="1" applyProtection="1">
      <alignment horizontal="center" vertical="center" wrapText="1"/>
    </xf>
    <xf numFmtId="0" fontId="22" fillId="18" borderId="12" xfId="3" applyFont="1" applyFill="1" applyBorder="1" applyAlignment="1" applyProtection="1">
      <alignment horizontal="center" vertical="center" wrapText="1"/>
    </xf>
    <xf numFmtId="0" fontId="22" fillId="18" borderId="3" xfId="0" applyFont="1" applyFill="1" applyBorder="1" applyAlignment="1" applyProtection="1">
      <alignment horizontal="center" vertical="center" wrapText="1"/>
      <protection locked="0"/>
    </xf>
    <xf numFmtId="0" fontId="22" fillId="18" borderId="1" xfId="0" applyFont="1" applyFill="1" applyBorder="1" applyAlignment="1" applyProtection="1">
      <alignment horizontal="center" vertical="center" wrapText="1"/>
      <protection locked="0"/>
    </xf>
    <xf numFmtId="0" fontId="22" fillId="18" borderId="12" xfId="0" applyFont="1" applyFill="1" applyBorder="1" applyAlignment="1" applyProtection="1">
      <alignment horizontal="center" vertical="center" wrapText="1"/>
      <protection locked="0"/>
    </xf>
    <xf numFmtId="0" fontId="22" fillId="18" borderId="3" xfId="0" applyFont="1" applyFill="1" applyBorder="1" applyAlignment="1" applyProtection="1">
      <alignment horizontal="center" vertical="center" wrapText="1"/>
    </xf>
    <xf numFmtId="0" fontId="22" fillId="18" borderId="1" xfId="0" applyFont="1" applyFill="1" applyBorder="1" applyAlignment="1" applyProtection="1">
      <alignment horizontal="center" vertical="center" wrapText="1"/>
    </xf>
    <xf numFmtId="0" fontId="22" fillId="18" borderId="12" xfId="0" applyFont="1" applyFill="1" applyBorder="1" applyAlignment="1" applyProtection="1">
      <alignment horizontal="center" vertical="center" wrapText="1"/>
    </xf>
    <xf numFmtId="0" fontId="27" fillId="8" borderId="3" xfId="3" applyFont="1" applyFill="1" applyBorder="1" applyAlignment="1" applyProtection="1">
      <alignment horizontal="center" vertical="center" wrapText="1"/>
      <protection locked="0"/>
    </xf>
    <xf numFmtId="0" fontId="27" fillId="8" borderId="1" xfId="3" applyFont="1" applyFill="1" applyBorder="1" applyAlignment="1" applyProtection="1">
      <alignment horizontal="center" vertical="center" wrapText="1"/>
      <protection locked="0"/>
    </xf>
    <xf numFmtId="0" fontId="27" fillId="8" borderId="12" xfId="3" applyFont="1" applyFill="1" applyBorder="1" applyAlignment="1" applyProtection="1">
      <alignment horizontal="center" vertical="center" wrapText="1"/>
      <protection locked="0"/>
    </xf>
    <xf numFmtId="0" fontId="22" fillId="17" borderId="3" xfId="0" applyFont="1" applyFill="1" applyBorder="1" applyAlignment="1" applyProtection="1">
      <alignment horizontal="center" vertical="center" wrapText="1"/>
    </xf>
    <xf numFmtId="0" fontId="22" fillId="17" borderId="12" xfId="0" applyFont="1" applyFill="1" applyBorder="1" applyAlignment="1" applyProtection="1">
      <alignment horizontal="center" vertical="center" wrapText="1"/>
    </xf>
    <xf numFmtId="0" fontId="27" fillId="17" borderId="3" xfId="3" applyFont="1" applyFill="1" applyBorder="1" applyAlignment="1" applyProtection="1">
      <alignment horizontal="center" vertical="center" wrapText="1"/>
      <protection locked="0"/>
    </xf>
    <xf numFmtId="0" fontId="27" fillId="17" borderId="1" xfId="3" applyFont="1" applyFill="1" applyBorder="1" applyAlignment="1" applyProtection="1">
      <alignment horizontal="center" vertical="center" wrapText="1"/>
      <protection locked="0"/>
    </xf>
    <xf numFmtId="0" fontId="27" fillId="17" borderId="12" xfId="3" applyFont="1" applyFill="1" applyBorder="1" applyAlignment="1" applyProtection="1">
      <alignment horizontal="center" vertical="center" wrapText="1"/>
      <protection locked="0"/>
    </xf>
    <xf numFmtId="0" fontId="22" fillId="17" borderId="1" xfId="3" applyFont="1" applyFill="1" applyBorder="1" applyAlignment="1" applyProtection="1">
      <alignment horizontal="center" vertical="center" wrapText="1"/>
    </xf>
    <xf numFmtId="0" fontId="22" fillId="17" borderId="1" xfId="0" applyFont="1" applyFill="1" applyBorder="1" applyAlignment="1" applyProtection="1">
      <alignment horizontal="center" vertical="center" wrapText="1"/>
      <protection locked="0"/>
    </xf>
    <xf numFmtId="2" fontId="22" fillId="17" borderId="1" xfId="1" applyNumberFormat="1" applyFont="1" applyFill="1" applyBorder="1" applyAlignment="1" applyProtection="1">
      <alignment horizontal="center" vertical="center" wrapText="1"/>
    </xf>
    <xf numFmtId="2" fontId="22" fillId="17" borderId="1" xfId="1" applyNumberFormat="1"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center" wrapText="1"/>
    </xf>
    <xf numFmtId="0" fontId="25" fillId="17" borderId="14" xfId="3" applyFont="1" applyFill="1" applyBorder="1" applyAlignment="1" applyProtection="1">
      <alignment horizontal="center" vertical="center" wrapText="1"/>
      <protection locked="0"/>
    </xf>
    <xf numFmtId="0" fontId="25" fillId="0" borderId="3" xfId="3" applyFont="1" applyFill="1" applyBorder="1" applyAlignment="1" applyProtection="1">
      <alignment horizontal="center" vertical="top" wrapText="1"/>
      <protection locked="0"/>
    </xf>
    <xf numFmtId="0" fontId="25" fillId="17" borderId="1" xfId="3" applyFont="1" applyFill="1" applyBorder="1" applyAlignment="1" applyProtection="1">
      <alignment horizontal="center" vertical="top" wrapText="1"/>
      <protection locked="0"/>
    </xf>
    <xf numFmtId="0" fontId="25" fillId="17" borderId="46" xfId="0" applyFont="1" applyFill="1" applyBorder="1" applyAlignment="1" applyProtection="1">
      <alignment horizontal="center" vertical="center" wrapText="1"/>
      <protection locked="0"/>
    </xf>
    <xf numFmtId="0" fontId="25" fillId="17" borderId="44"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0" fontId="27" fillId="0" borderId="60"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14" fontId="27" fillId="0" borderId="9" xfId="0" applyNumberFormat="1" applyFont="1" applyFill="1" applyBorder="1" applyAlignment="1" applyProtection="1">
      <alignment horizontal="center" vertical="center" wrapText="1"/>
      <protection locked="0"/>
    </xf>
    <xf numFmtId="0" fontId="10" fillId="13"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7"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0" borderId="1" xfId="0" applyFont="1" applyBorder="1" applyAlignment="1" applyProtection="1">
      <alignment horizontal="left" vertical="center" wrapText="1"/>
    </xf>
    <xf numFmtId="0" fontId="24" fillId="2" borderId="13"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1" fillId="0" borderId="3" xfId="0" applyFont="1" applyBorder="1" applyAlignment="1" applyProtection="1">
      <alignment horizontal="left"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Alignment="1" applyProtection="1">
      <alignment horizontal="center" vertical="center" wrapText="1"/>
    </xf>
    <xf numFmtId="0" fontId="11" fillId="0" borderId="17" xfId="0" applyFont="1" applyBorder="1" applyAlignment="1" applyProtection="1">
      <alignment horizontal="left" vertical="center" wrapText="1"/>
    </xf>
    <xf numFmtId="0" fontId="19" fillId="2" borderId="5" xfId="0" applyFont="1" applyFill="1" applyBorder="1" applyAlignment="1" applyProtection="1">
      <alignment horizontal="center" vertical="center" wrapText="1"/>
    </xf>
    <xf numFmtId="0" fontId="10" fillId="9" borderId="26"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0" fillId="0" borderId="33" xfId="0" applyFont="1" applyBorder="1" applyAlignment="1" applyProtection="1">
      <alignment horizontal="center" vertical="top" wrapText="1"/>
    </xf>
    <xf numFmtId="0" fontId="0" fillId="0" borderId="34" xfId="0" applyFont="1" applyBorder="1" applyAlignment="1" applyProtection="1">
      <alignment horizontal="center" vertical="top" wrapText="1"/>
    </xf>
    <xf numFmtId="0" fontId="0" fillId="0" borderId="31" xfId="0" applyFont="1" applyBorder="1" applyAlignment="1" applyProtection="1">
      <alignment horizontal="center" vertical="top" wrapText="1"/>
    </xf>
    <xf numFmtId="0" fontId="0" fillId="0" borderId="27"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28" xfId="0" applyFont="1" applyBorder="1" applyAlignment="1" applyProtection="1">
      <alignment horizontal="center" vertical="top" wrapText="1"/>
    </xf>
    <xf numFmtId="0" fontId="0" fillId="0" borderId="35" xfId="0" applyFont="1" applyBorder="1" applyAlignment="1" applyProtection="1">
      <alignment horizontal="center" vertical="top" wrapText="1"/>
    </xf>
    <xf numFmtId="0" fontId="0" fillId="0" borderId="36" xfId="0" applyFont="1" applyBorder="1" applyAlignment="1" applyProtection="1">
      <alignment horizontal="center" vertical="top" wrapText="1"/>
    </xf>
    <xf numFmtId="0" fontId="0" fillId="0" borderId="32" xfId="0" applyFont="1" applyBorder="1" applyAlignment="1" applyProtection="1">
      <alignment horizontal="center" vertical="top" wrapText="1"/>
    </xf>
    <xf numFmtId="0" fontId="0" fillId="0" borderId="33"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0" fillId="0" borderId="27"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35"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32" xfId="0" applyFont="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0" borderId="16"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9" xfId="0" applyFont="1" applyBorder="1" applyAlignment="1">
      <alignment horizontal="justify"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19" fillId="10" borderId="33" xfId="0" applyFont="1" applyFill="1" applyBorder="1" applyAlignment="1">
      <alignment horizontal="center" vertical="center" textRotation="90" wrapText="1"/>
    </xf>
    <xf numFmtId="0" fontId="19" fillId="10" borderId="27" xfId="0" applyFont="1" applyFill="1" applyBorder="1" applyAlignment="1">
      <alignment horizontal="center" vertical="center" textRotation="90" wrapText="1"/>
    </xf>
    <xf numFmtId="0" fontId="19" fillId="10" borderId="35" xfId="0" applyFont="1" applyFill="1" applyBorder="1" applyAlignment="1">
      <alignment horizontal="center" vertical="center" textRotation="90" wrapText="1"/>
    </xf>
    <xf numFmtId="0" fontId="16" fillId="10" borderId="36"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25" fillId="0" borderId="27" xfId="0" applyFont="1" applyFill="1" applyBorder="1" applyAlignment="1" applyProtection="1">
      <alignment horizontal="center" vertical="center" wrapText="1"/>
    </xf>
    <xf numFmtId="0" fontId="25" fillId="17" borderId="1" xfId="3" applyFont="1" applyFill="1" applyBorder="1" applyAlignment="1" applyProtection="1">
      <alignment horizontal="justify" vertical="top" wrapText="1"/>
      <protection locked="0"/>
    </xf>
    <xf numFmtId="0" fontId="25" fillId="0" borderId="1" xfId="0" applyFont="1" applyFill="1" applyBorder="1" applyAlignment="1" applyProtection="1">
      <alignment vertical="center"/>
      <protection locked="0"/>
    </xf>
    <xf numFmtId="0" fontId="25" fillId="0" borderId="1" xfId="3" applyFont="1" applyFill="1" applyBorder="1" applyAlignment="1" applyProtection="1">
      <alignment horizontal="justify" vertical="center" wrapText="1"/>
      <protection locked="0"/>
    </xf>
    <xf numFmtId="0" fontId="22" fillId="0" borderId="9" xfId="0" applyFont="1" applyFill="1" applyBorder="1" applyAlignment="1" applyProtection="1">
      <alignment horizontal="center" vertical="center" wrapText="1"/>
      <protection locked="0"/>
    </xf>
    <xf numFmtId="2" fontId="22" fillId="0" borderId="9" xfId="1" applyNumberFormat="1" applyFont="1" applyFill="1" applyBorder="1" applyAlignment="1" applyProtection="1">
      <alignment horizontal="center" vertical="center" wrapText="1"/>
    </xf>
    <xf numFmtId="2" fontId="22" fillId="0" borderId="9" xfId="1"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xf>
    <xf numFmtId="0" fontId="25" fillId="0" borderId="18" xfId="3" applyFont="1" applyFill="1" applyBorder="1" applyAlignment="1" applyProtection="1">
      <alignment horizontal="left" vertical="center" wrapText="1"/>
      <protection locked="0"/>
    </xf>
    <xf numFmtId="0" fontId="25" fillId="0" borderId="44" xfId="3" applyFont="1" applyFill="1" applyBorder="1" applyAlignment="1" applyProtection="1">
      <alignment horizontal="left" vertical="center" wrapText="1"/>
      <protection locked="0"/>
    </xf>
    <xf numFmtId="0" fontId="25" fillId="0" borderId="35" xfId="0" applyFont="1" applyFill="1" applyBorder="1" applyAlignment="1" applyProtection="1">
      <alignment horizontal="center" vertical="center" wrapText="1"/>
    </xf>
    <xf numFmtId="0" fontId="25" fillId="17" borderId="12" xfId="3" applyFont="1" applyFill="1" applyBorder="1" applyAlignment="1" applyProtection="1">
      <alignment horizontal="justify" vertical="top" wrapText="1"/>
      <protection locked="0"/>
    </xf>
    <xf numFmtId="0" fontId="25" fillId="0" borderId="12" xfId="0" applyFont="1" applyFill="1" applyBorder="1" applyAlignment="1" applyProtection="1">
      <alignment vertical="center"/>
      <protection locked="0"/>
    </xf>
    <xf numFmtId="0" fontId="25" fillId="0" borderId="1" xfId="3" applyFont="1" applyFill="1" applyBorder="1" applyAlignment="1" applyProtection="1">
      <alignment horizontal="justify" vertical="center" wrapText="1"/>
      <protection locked="0"/>
    </xf>
    <xf numFmtId="0" fontId="25" fillId="0" borderId="17" xfId="3" applyFont="1" applyFill="1" applyBorder="1" applyAlignment="1" applyProtection="1">
      <alignment horizontal="justify" vertical="center" wrapText="1"/>
      <protection locked="0"/>
    </xf>
    <xf numFmtId="0" fontId="25" fillId="0" borderId="18" xfId="3" applyFont="1" applyFill="1" applyBorder="1" applyAlignment="1" applyProtection="1">
      <alignment horizontal="justify" vertical="center" wrapText="1"/>
      <protection locked="0"/>
    </xf>
    <xf numFmtId="0" fontId="25" fillId="0" borderId="9" xfId="3" applyFont="1" applyFill="1" applyBorder="1" applyAlignment="1" applyProtection="1">
      <alignment horizontal="justify" vertical="center" wrapText="1"/>
      <protection locked="0"/>
    </xf>
    <xf numFmtId="0" fontId="25" fillId="0" borderId="1" xfId="0" applyFont="1" applyFill="1" applyBorder="1" applyAlignment="1" applyProtection="1">
      <alignment horizontal="justify" vertical="center" wrapText="1"/>
      <protection locked="0"/>
    </xf>
    <xf numFmtId="0" fontId="25" fillId="0" borderId="61" xfId="3" applyFont="1" applyFill="1" applyBorder="1" applyAlignment="1" applyProtection="1">
      <alignment horizontal="justify" vertical="center" wrapText="1"/>
      <protection locked="0"/>
    </xf>
    <xf numFmtId="0" fontId="25" fillId="0" borderId="62" xfId="3" applyFont="1" applyFill="1" applyBorder="1" applyAlignment="1" applyProtection="1">
      <alignment horizontal="justify" vertical="center" wrapText="1"/>
      <protection locked="0"/>
    </xf>
    <xf numFmtId="0" fontId="25" fillId="8" borderId="1" xfId="3" applyFont="1" applyFill="1" applyBorder="1" applyAlignment="1" applyProtection="1">
      <alignment horizontal="center" vertical="center" wrapText="1"/>
      <protection locked="0"/>
    </xf>
    <xf numFmtId="0" fontId="25" fillId="0" borderId="69" xfId="3" applyFont="1" applyFill="1" applyBorder="1" applyAlignment="1" applyProtection="1">
      <alignment horizontal="justify" vertical="center" wrapText="1"/>
      <protection locked="0"/>
    </xf>
    <xf numFmtId="0" fontId="25" fillId="0" borderId="70" xfId="3" applyFont="1" applyFill="1" applyBorder="1" applyAlignment="1" applyProtection="1">
      <alignment horizontal="justify" vertical="center" wrapText="1"/>
      <protection locked="0"/>
    </xf>
    <xf numFmtId="0" fontId="25" fillId="0" borderId="17" xfId="0" applyFont="1" applyFill="1" applyBorder="1" applyAlignment="1" applyProtection="1">
      <alignment horizontal="justify" vertical="center" wrapText="1"/>
      <protection locked="0"/>
    </xf>
    <xf numFmtId="0" fontId="22" fillId="0" borderId="9" xfId="3" applyFont="1" applyFill="1" applyBorder="1" applyAlignment="1" applyProtection="1">
      <alignment horizontal="center" vertical="center" wrapText="1"/>
    </xf>
    <xf numFmtId="0" fontId="25" fillId="0" borderId="9" xfId="0" applyFont="1" applyFill="1" applyBorder="1" applyAlignment="1" applyProtection="1">
      <alignment horizontal="justify" vertical="center" wrapText="1"/>
      <protection locked="0"/>
    </xf>
    <xf numFmtId="0" fontId="25" fillId="0" borderId="69" xfId="0" applyFont="1" applyFill="1" applyBorder="1" applyAlignment="1" applyProtection="1">
      <alignment horizontal="justify" vertical="center" wrapText="1"/>
    </xf>
    <xf numFmtId="0" fontId="25" fillId="0" borderId="70" xfId="0" applyFont="1" applyFill="1" applyBorder="1" applyAlignment="1" applyProtection="1">
      <alignment horizontal="justify" vertical="center" wrapText="1"/>
    </xf>
    <xf numFmtId="0" fontId="25" fillId="0" borderId="52" xfId="0" applyFont="1" applyFill="1" applyBorder="1" applyAlignment="1" applyProtection="1">
      <alignment horizontal="justify" vertical="center" wrapText="1"/>
    </xf>
    <xf numFmtId="0" fontId="25" fillId="0" borderId="53" xfId="0" applyFont="1" applyFill="1" applyBorder="1" applyAlignment="1" applyProtection="1">
      <alignment horizontal="justify" vertical="center" wrapText="1"/>
    </xf>
  </cellXfs>
  <cellStyles count="5">
    <cellStyle name="Hipervínculo" xfId="2" builtinId="8"/>
    <cellStyle name="Millares" xfId="1" builtinId="3"/>
    <cellStyle name="Normal" xfId="0" builtinId="0"/>
    <cellStyle name="Normal 2" xfId="3" xr:uid="{00000000-0005-0000-0000-000003000000}"/>
    <cellStyle name="Normal 2 3" xfId="4" xr:uid="{00000000-0005-0000-0000-000004000000}"/>
  </cellStyles>
  <dxfs count="1722">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9" defaultPivotStyle="PivotStyleLight16"/>
  <colors>
    <mruColors>
      <color rgb="FFFF9900"/>
      <color rgb="FFFFFFCC"/>
      <color rgb="FFFF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5" name="1 Imagen">
          <a:extLst>
            <a:ext uri="{FF2B5EF4-FFF2-40B4-BE49-F238E27FC236}">
              <a16:creationId xmlns:a16="http://schemas.microsoft.com/office/drawing/2014/main" id="{69E60FAA-CB76-4256-A8A7-5EE84374AD7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9152" y="1977118"/>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elson.ovalle/Downloads/SIG-FM-007-V7%20Formato%20Mapa%20de%20Riesgos%20de%20Proceso%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SIT-MR-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ifanny.wilches/OneDrive%20-%20uaermv/3.%20CONTRATO%20163%20-2018/ENLACE/MATRIZ%20DE%20RIESGOS/SEC-GRAL-MR-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REF-MR-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CON-MR-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FIN-MR-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THU-MR-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AM-MR-2019%20de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GJUR-MR-20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CODI-MR-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PPMQ-MR-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Users/natalia.norato/OneDrive%20-%20uaermv/NATA%20SIG/2018/12.%20DICIEMBRE/SIG-FM-007-V7%20Formato%20Mapa%20de%20Riesgos%20de%20Proceso%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DOC-MR-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diana.reay/Downloads/SEC-GRAL-MR-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LAB-MR-201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DESI-MR-2019%20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ESI-FM-018-V7%20Formato%20Mapa%20de%20Riesgos%20de%20Proceso%20DESI_PIL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APIC-MR-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ura.gutierrez/Downloads/DESI-FM-018-V7%20Formato%20Mapa%20de%20Riesgos%20de%20Proceso%20ejercicios%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hristian.medina/Downloads/EGTI-MR-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PIV-MR-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IG\INFORMACION%20DESI\GESTION%20-%20MAPA%20DE%20RIESGOS\2019\Versi&#243;n%20final%20revisada\IMVI-M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efreshError="1">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PRO"/>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efreshError="1">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LAB"/>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efreshError="1">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efreshError="1">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 val="ESRI_MAPINFO_SHEET"/>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4F6B7-7F91-4C07-B61B-7646A53CE042}">
  <dimension ref="B2:L101"/>
  <sheetViews>
    <sheetView topLeftCell="A62" workbookViewId="0">
      <selection activeCell="D75" sqref="D75"/>
    </sheetView>
  </sheetViews>
  <sheetFormatPr baseColWidth="10" defaultRowHeight="15" x14ac:dyDescent="0.25"/>
  <cols>
    <col min="1" max="1" width="11.42578125" style="15"/>
    <col min="2" max="3" width="37.42578125" style="15" customWidth="1"/>
    <col min="4" max="4" width="17.7109375" style="15" customWidth="1"/>
    <col min="5" max="7" width="26.85546875" style="15" customWidth="1"/>
    <col min="8" max="8" width="20.7109375" style="15" customWidth="1"/>
    <col min="9" max="9" width="22.42578125" style="15" customWidth="1"/>
    <col min="10" max="10" width="16.7109375" style="15" customWidth="1"/>
    <col min="11" max="11" width="26.5703125" style="15" customWidth="1"/>
    <col min="12" max="12" width="23.85546875" style="15" customWidth="1"/>
    <col min="13" max="16384" width="11.42578125" style="15"/>
  </cols>
  <sheetData>
    <row r="2" spans="2:12" ht="30" x14ac:dyDescent="0.25">
      <c r="B2" s="15" t="s">
        <v>88</v>
      </c>
      <c r="C2" s="15" t="s">
        <v>70</v>
      </c>
      <c r="D2" s="15" t="s">
        <v>102</v>
      </c>
      <c r="E2" s="15" t="s">
        <v>103</v>
      </c>
      <c r="F2" s="15" t="s">
        <v>104</v>
      </c>
      <c r="G2" s="15" t="s">
        <v>3</v>
      </c>
      <c r="H2" s="15" t="s">
        <v>132</v>
      </c>
      <c r="I2" s="15" t="s">
        <v>66</v>
      </c>
      <c r="J2" s="15" t="s">
        <v>136</v>
      </c>
      <c r="K2" s="15" t="s">
        <v>165</v>
      </c>
    </row>
    <row r="4" spans="2:12" ht="31.5" x14ac:dyDescent="0.25">
      <c r="B4" s="14" t="s">
        <v>71</v>
      </c>
      <c r="C4" s="14" t="s">
        <v>89</v>
      </c>
      <c r="D4" s="12" t="s">
        <v>92</v>
      </c>
      <c r="E4" s="15" t="s">
        <v>124</v>
      </c>
      <c r="F4" s="15" t="s">
        <v>105</v>
      </c>
      <c r="G4" s="15" t="s">
        <v>134</v>
      </c>
      <c r="H4" s="15" t="s">
        <v>137</v>
      </c>
      <c r="I4" s="12" t="s">
        <v>23</v>
      </c>
      <c r="J4" s="12" t="s">
        <v>21</v>
      </c>
      <c r="K4" s="15" t="s">
        <v>166</v>
      </c>
      <c r="L4" s="12"/>
    </row>
    <row r="5" spans="2:12" ht="31.5" x14ac:dyDescent="0.25">
      <c r="B5" s="14" t="s">
        <v>72</v>
      </c>
      <c r="C5" s="14" t="s">
        <v>90</v>
      </c>
      <c r="D5" s="13" t="s">
        <v>93</v>
      </c>
      <c r="E5" s="15" t="s">
        <v>125</v>
      </c>
      <c r="F5" s="15" t="s">
        <v>106</v>
      </c>
      <c r="G5" s="15" t="s">
        <v>17</v>
      </c>
      <c r="H5" s="15" t="s">
        <v>133</v>
      </c>
      <c r="I5" s="12" t="s">
        <v>24</v>
      </c>
      <c r="J5" s="12" t="s">
        <v>22</v>
      </c>
      <c r="K5" s="15" t="s">
        <v>167</v>
      </c>
      <c r="L5" s="12"/>
    </row>
    <row r="6" spans="2:12" ht="30" x14ac:dyDescent="0.25">
      <c r="B6" s="14" t="s">
        <v>73</v>
      </c>
      <c r="C6" s="14" t="s">
        <v>91</v>
      </c>
      <c r="D6" s="12" t="s">
        <v>94</v>
      </c>
      <c r="E6" s="15" t="s">
        <v>126</v>
      </c>
      <c r="F6" s="15" t="s">
        <v>107</v>
      </c>
      <c r="G6" s="15" t="s">
        <v>18</v>
      </c>
      <c r="H6" s="15" t="s">
        <v>137</v>
      </c>
      <c r="I6" s="12" t="s">
        <v>25</v>
      </c>
      <c r="J6" s="12" t="s">
        <v>23</v>
      </c>
      <c r="K6" s="15" t="s">
        <v>168</v>
      </c>
      <c r="L6" s="12"/>
    </row>
    <row r="7" spans="2:12" ht="30" x14ac:dyDescent="0.25">
      <c r="B7" s="14" t="s">
        <v>74</v>
      </c>
      <c r="C7" s="14"/>
      <c r="D7" s="12" t="s">
        <v>95</v>
      </c>
      <c r="E7" s="15" t="s">
        <v>127</v>
      </c>
      <c r="F7" s="15" t="s">
        <v>108</v>
      </c>
      <c r="G7" s="15" t="s">
        <v>19</v>
      </c>
      <c r="J7" s="12" t="s">
        <v>24</v>
      </c>
      <c r="K7" s="15" t="s">
        <v>169</v>
      </c>
      <c r="L7" s="12"/>
    </row>
    <row r="8" spans="2:12" ht="31.5" x14ac:dyDescent="0.25">
      <c r="B8" s="14" t="s">
        <v>75</v>
      </c>
      <c r="C8" s="14"/>
      <c r="D8" s="12" t="s">
        <v>96</v>
      </c>
      <c r="E8" s="15" t="s">
        <v>128</v>
      </c>
      <c r="F8" s="15" t="s">
        <v>109</v>
      </c>
      <c r="G8" s="15" t="s">
        <v>135</v>
      </c>
      <c r="J8" s="12" t="s">
        <v>25</v>
      </c>
      <c r="L8" s="12"/>
    </row>
    <row r="9" spans="2:12" ht="30" x14ac:dyDescent="0.25">
      <c r="B9" s="14" t="s">
        <v>76</v>
      </c>
      <c r="C9" s="14"/>
      <c r="D9" s="12" t="s">
        <v>97</v>
      </c>
      <c r="E9" s="15" t="s">
        <v>129</v>
      </c>
      <c r="F9" s="15" t="s">
        <v>110</v>
      </c>
      <c r="L9" s="12"/>
    </row>
    <row r="10" spans="2:12" ht="31.5" x14ac:dyDescent="0.25">
      <c r="B10" s="14" t="s">
        <v>77</v>
      </c>
      <c r="C10" s="14"/>
      <c r="D10" s="12"/>
      <c r="E10" s="15" t="s">
        <v>130</v>
      </c>
      <c r="F10" s="15" t="s">
        <v>111</v>
      </c>
    </row>
    <row r="11" spans="2:12" ht="30" x14ac:dyDescent="0.25">
      <c r="B11" s="14" t="s">
        <v>78</v>
      </c>
      <c r="C11" s="14"/>
      <c r="D11" s="15" t="s">
        <v>98</v>
      </c>
      <c r="E11" s="15" t="s">
        <v>131</v>
      </c>
      <c r="F11" s="15" t="s">
        <v>112</v>
      </c>
    </row>
    <row r="12" spans="2:12" ht="45" x14ac:dyDescent="0.25">
      <c r="B12" s="14" t="s">
        <v>79</v>
      </c>
      <c r="C12" s="14"/>
      <c r="F12" s="15" t="s">
        <v>113</v>
      </c>
    </row>
    <row r="13" spans="2:12" ht="45" x14ac:dyDescent="0.25">
      <c r="B13" s="14" t="s">
        <v>80</v>
      </c>
      <c r="C13" s="14"/>
      <c r="D13" s="15" t="s">
        <v>99</v>
      </c>
      <c r="F13" s="15" t="s">
        <v>114</v>
      </c>
    </row>
    <row r="14" spans="2:12" ht="45" x14ac:dyDescent="0.25">
      <c r="B14" s="14" t="s">
        <v>81</v>
      </c>
      <c r="D14" s="15" t="s">
        <v>100</v>
      </c>
      <c r="F14" s="15" t="s">
        <v>115</v>
      </c>
    </row>
    <row r="15" spans="2:12" ht="45" x14ac:dyDescent="0.25">
      <c r="B15" s="14" t="s">
        <v>82</v>
      </c>
      <c r="C15" s="14"/>
      <c r="D15" s="15" t="s">
        <v>101</v>
      </c>
      <c r="F15" s="15" t="s">
        <v>116</v>
      </c>
    </row>
    <row r="16" spans="2:12" ht="30" x14ac:dyDescent="0.25">
      <c r="B16" s="14" t="s">
        <v>83</v>
      </c>
      <c r="C16" s="14"/>
      <c r="F16" s="15" t="s">
        <v>117</v>
      </c>
    </row>
    <row r="17" spans="2:6" ht="30" x14ac:dyDescent="0.25">
      <c r="B17" s="14" t="s">
        <v>84</v>
      </c>
      <c r="C17" s="14"/>
      <c r="F17" s="15" t="s">
        <v>118</v>
      </c>
    </row>
    <row r="18" spans="2:6" ht="45" x14ac:dyDescent="0.25">
      <c r="B18" s="14" t="s">
        <v>85</v>
      </c>
      <c r="C18" s="14"/>
      <c r="F18" s="15" t="s">
        <v>119</v>
      </c>
    </row>
    <row r="19" spans="2:6" ht="30" x14ac:dyDescent="0.25">
      <c r="B19" s="14" t="s">
        <v>86</v>
      </c>
      <c r="C19" s="14"/>
      <c r="F19" s="15" t="s">
        <v>120</v>
      </c>
    </row>
    <row r="20" spans="2:6" ht="31.5" x14ac:dyDescent="0.25">
      <c r="B20" s="14" t="s">
        <v>87</v>
      </c>
      <c r="C20" s="14"/>
      <c r="F20" s="15" t="s">
        <v>121</v>
      </c>
    </row>
    <row r="21" spans="2:6" ht="30" x14ac:dyDescent="0.25">
      <c r="F21" s="15" t="s">
        <v>122</v>
      </c>
    </row>
    <row r="22" spans="2:6" x14ac:dyDescent="0.25">
      <c r="F22" s="15" t="s">
        <v>123</v>
      </c>
    </row>
    <row r="29" spans="2:6" x14ac:dyDescent="0.25">
      <c r="B29" s="15" t="s">
        <v>138</v>
      </c>
      <c r="C29" s="15" t="s">
        <v>137</v>
      </c>
    </row>
    <row r="30" spans="2:6" x14ac:dyDescent="0.25">
      <c r="B30" s="15" t="s">
        <v>134</v>
      </c>
      <c r="C30" s="12" t="s">
        <v>21</v>
      </c>
    </row>
    <row r="31" spans="2:6" x14ac:dyDescent="0.25">
      <c r="B31" s="15" t="s">
        <v>17</v>
      </c>
      <c r="C31" s="12" t="s">
        <v>22</v>
      </c>
    </row>
    <row r="32" spans="2:6" x14ac:dyDescent="0.25">
      <c r="B32" s="15" t="s">
        <v>18</v>
      </c>
      <c r="C32" s="12" t="s">
        <v>23</v>
      </c>
    </row>
    <row r="33" spans="2:3" x14ac:dyDescent="0.25">
      <c r="B33" s="15" t="s">
        <v>19</v>
      </c>
      <c r="C33" s="12" t="s">
        <v>24</v>
      </c>
    </row>
    <row r="34" spans="2:3" x14ac:dyDescent="0.25">
      <c r="B34" s="15" t="s">
        <v>135</v>
      </c>
      <c r="C34" s="12" t="s">
        <v>25</v>
      </c>
    </row>
    <row r="37" spans="2:3" x14ac:dyDescent="0.25">
      <c r="B37" s="15" t="str">
        <f>$B$30&amp;C30</f>
        <v>Rara vezInsignificante</v>
      </c>
      <c r="C37" s="15" t="s">
        <v>139</v>
      </c>
    </row>
    <row r="38" spans="2:3" x14ac:dyDescent="0.25">
      <c r="B38" s="15" t="str">
        <f t="shared" ref="B38:B41" si="0">$B$30&amp;C31</f>
        <v>Rara vezMenor</v>
      </c>
      <c r="C38" s="15" t="s">
        <v>139</v>
      </c>
    </row>
    <row r="39" spans="2:3" x14ac:dyDescent="0.25">
      <c r="B39" s="15" t="str">
        <f t="shared" si="0"/>
        <v>Rara vezModerado</v>
      </c>
      <c r="C39" s="15" t="s">
        <v>140</v>
      </c>
    </row>
    <row r="40" spans="2:3" x14ac:dyDescent="0.25">
      <c r="B40" s="15" t="str">
        <f t="shared" si="0"/>
        <v>Rara vezMayor</v>
      </c>
      <c r="C40" s="15" t="s">
        <v>141</v>
      </c>
    </row>
    <row r="41" spans="2:3" x14ac:dyDescent="0.25">
      <c r="B41" s="15" t="str">
        <f t="shared" si="0"/>
        <v>Rara vezCatastrófico</v>
      </c>
      <c r="C41" s="15" t="s">
        <v>142</v>
      </c>
    </row>
    <row r="42" spans="2:3" x14ac:dyDescent="0.25">
      <c r="B42" s="15" t="str">
        <f>$B$31&amp;C30</f>
        <v>ImprobableInsignificante</v>
      </c>
      <c r="C42" s="15" t="s">
        <v>139</v>
      </c>
    </row>
    <row r="43" spans="2:3" x14ac:dyDescent="0.25">
      <c r="B43" s="15" t="str">
        <f t="shared" ref="B43:B46" si="1">$B$31&amp;C31</f>
        <v>ImprobableMenor</v>
      </c>
      <c r="C43" s="15" t="s">
        <v>139</v>
      </c>
    </row>
    <row r="44" spans="2:3" x14ac:dyDescent="0.25">
      <c r="B44" s="15" t="str">
        <f t="shared" si="1"/>
        <v>ImprobableModerado</v>
      </c>
      <c r="C44" s="15" t="s">
        <v>140</v>
      </c>
    </row>
    <row r="45" spans="2:3" x14ac:dyDescent="0.25">
      <c r="B45" s="15" t="str">
        <f t="shared" si="1"/>
        <v>ImprobableMayor</v>
      </c>
      <c r="C45" s="15" t="s">
        <v>141</v>
      </c>
    </row>
    <row r="46" spans="2:3" x14ac:dyDescent="0.25">
      <c r="B46" s="15" t="str">
        <f t="shared" si="1"/>
        <v>ImprobableCatastrófico</v>
      </c>
      <c r="C46" s="15" t="s">
        <v>142</v>
      </c>
    </row>
    <row r="47" spans="2:3" x14ac:dyDescent="0.25">
      <c r="B47" s="15" t="str">
        <f>$B$32&amp;C30</f>
        <v>PosibleInsignificante</v>
      </c>
      <c r="C47" s="15" t="s">
        <v>139</v>
      </c>
    </row>
    <row r="48" spans="2:3" x14ac:dyDescent="0.25">
      <c r="B48" s="15" t="str">
        <f t="shared" ref="B48:B51" si="2">$B$32&amp;C31</f>
        <v>PosibleMenor</v>
      </c>
      <c r="C48" s="15" t="s">
        <v>140</v>
      </c>
    </row>
    <row r="49" spans="2:3" x14ac:dyDescent="0.25">
      <c r="B49" s="15" t="str">
        <f t="shared" si="2"/>
        <v>PosibleModerado</v>
      </c>
      <c r="C49" s="15" t="s">
        <v>141</v>
      </c>
    </row>
    <row r="50" spans="2:3" x14ac:dyDescent="0.25">
      <c r="B50" s="15" t="str">
        <f t="shared" si="2"/>
        <v>PosibleMayor</v>
      </c>
      <c r="C50" s="15" t="s">
        <v>142</v>
      </c>
    </row>
    <row r="51" spans="2:3" x14ac:dyDescent="0.25">
      <c r="B51" s="15" t="str">
        <f t="shared" si="2"/>
        <v>PosibleCatastrófico</v>
      </c>
      <c r="C51" s="15" t="s">
        <v>142</v>
      </c>
    </row>
    <row r="52" spans="2:3" x14ac:dyDescent="0.25">
      <c r="B52" s="15" t="str">
        <f>$B$33&amp;C30</f>
        <v>ProbableInsignificante</v>
      </c>
      <c r="C52" s="15" t="s">
        <v>140</v>
      </c>
    </row>
    <row r="53" spans="2:3" x14ac:dyDescent="0.25">
      <c r="B53" s="15" t="str">
        <f t="shared" ref="B53:B56" si="3">$B$33&amp;C31</f>
        <v>ProbableMenor</v>
      </c>
      <c r="C53" s="15" t="s">
        <v>141</v>
      </c>
    </row>
    <row r="54" spans="2:3" x14ac:dyDescent="0.25">
      <c r="B54" s="15" t="str">
        <f t="shared" si="3"/>
        <v>ProbableModerado</v>
      </c>
      <c r="C54" s="15" t="s">
        <v>141</v>
      </c>
    </row>
    <row r="55" spans="2:3" x14ac:dyDescent="0.25">
      <c r="B55" s="15" t="str">
        <f t="shared" si="3"/>
        <v>ProbableMayor</v>
      </c>
      <c r="C55" s="15" t="s">
        <v>142</v>
      </c>
    </row>
    <row r="56" spans="2:3" x14ac:dyDescent="0.25">
      <c r="B56" s="15" t="str">
        <f t="shared" si="3"/>
        <v>ProbableCatastrófico</v>
      </c>
      <c r="C56" s="15" t="s">
        <v>142</v>
      </c>
    </row>
    <row r="57" spans="2:3" x14ac:dyDescent="0.25">
      <c r="B57" s="15" t="str">
        <f>$B$34&amp;C30</f>
        <v>Casi seguroInsignificante</v>
      </c>
      <c r="C57" s="15" t="s">
        <v>141</v>
      </c>
    </row>
    <row r="58" spans="2:3" x14ac:dyDescent="0.25">
      <c r="B58" s="15" t="str">
        <f t="shared" ref="B58:B61" si="4">$B$34&amp;C31</f>
        <v>Casi seguroMenor</v>
      </c>
      <c r="C58" s="15" t="s">
        <v>141</v>
      </c>
    </row>
    <row r="59" spans="2:3" x14ac:dyDescent="0.25">
      <c r="B59" s="15" t="str">
        <f t="shared" si="4"/>
        <v>Casi seguroModerado</v>
      </c>
      <c r="C59" s="15" t="s">
        <v>142</v>
      </c>
    </row>
    <row r="60" spans="2:3" x14ac:dyDescent="0.25">
      <c r="B60" s="15" t="str">
        <f t="shared" si="4"/>
        <v>Casi seguroMayor</v>
      </c>
      <c r="C60" s="15" t="s">
        <v>142</v>
      </c>
    </row>
    <row r="61" spans="2:3" x14ac:dyDescent="0.25">
      <c r="B61" s="15" t="str">
        <f t="shared" si="4"/>
        <v>Casi seguroCatastrófico</v>
      </c>
      <c r="C61" s="15" t="s">
        <v>142</v>
      </c>
    </row>
    <row r="64" spans="2:3" x14ac:dyDescent="0.25">
      <c r="B64" s="15" t="s">
        <v>152</v>
      </c>
      <c r="C64" s="15" t="s">
        <v>152</v>
      </c>
    </row>
    <row r="65" spans="2:4" x14ac:dyDescent="0.25">
      <c r="B65" s="15" t="s">
        <v>23</v>
      </c>
      <c r="C65" s="15" t="s">
        <v>23</v>
      </c>
    </row>
    <row r="66" spans="2:4" x14ac:dyDescent="0.25">
      <c r="B66" s="15" t="s">
        <v>153</v>
      </c>
      <c r="C66" s="15" t="s">
        <v>153</v>
      </c>
    </row>
    <row r="69" spans="2:4" x14ac:dyDescent="0.25">
      <c r="B69" s="15" t="str">
        <f>$B$64&amp;C64</f>
        <v>FuerteFuerte</v>
      </c>
      <c r="C69" s="15" t="s">
        <v>154</v>
      </c>
      <c r="D69" s="15" t="s">
        <v>152</v>
      </c>
    </row>
    <row r="70" spans="2:4" x14ac:dyDescent="0.25">
      <c r="B70" s="15" t="str">
        <f t="shared" ref="B70:B71" si="5">$B$64&amp;C65</f>
        <v>FuerteModerado</v>
      </c>
      <c r="C70" s="15" t="s">
        <v>155</v>
      </c>
      <c r="D70" s="15" t="s">
        <v>23</v>
      </c>
    </row>
    <row r="71" spans="2:4" x14ac:dyDescent="0.25">
      <c r="B71" s="15" t="str">
        <f t="shared" si="5"/>
        <v>FuerteDébil</v>
      </c>
      <c r="C71" s="15" t="s">
        <v>155</v>
      </c>
      <c r="D71" s="15" t="s">
        <v>153</v>
      </c>
    </row>
    <row r="72" spans="2:4" x14ac:dyDescent="0.25">
      <c r="B72" s="15" t="str">
        <f>$B$65&amp;C64</f>
        <v>ModeradoFuerte</v>
      </c>
      <c r="C72" s="15" t="s">
        <v>155</v>
      </c>
      <c r="D72" s="15" t="s">
        <v>23</v>
      </c>
    </row>
    <row r="73" spans="2:4" x14ac:dyDescent="0.25">
      <c r="B73" s="15" t="str">
        <f t="shared" ref="B73:B74" si="6">$B$65&amp;C65</f>
        <v>ModeradoModerado</v>
      </c>
      <c r="C73" s="15" t="s">
        <v>155</v>
      </c>
      <c r="D73" s="15" t="s">
        <v>23</v>
      </c>
    </row>
    <row r="74" spans="2:4" x14ac:dyDescent="0.25">
      <c r="B74" s="15" t="str">
        <f t="shared" si="6"/>
        <v>ModeradoDébil</v>
      </c>
      <c r="C74" s="15" t="s">
        <v>155</v>
      </c>
      <c r="D74" s="15" t="s">
        <v>153</v>
      </c>
    </row>
    <row r="75" spans="2:4" x14ac:dyDescent="0.25">
      <c r="B75" s="15" t="str">
        <f>$B$66&amp;C64</f>
        <v>DébilFuerte</v>
      </c>
      <c r="C75" s="15" t="s">
        <v>155</v>
      </c>
      <c r="D75" s="15" t="s">
        <v>153</v>
      </c>
    </row>
    <row r="76" spans="2:4" x14ac:dyDescent="0.25">
      <c r="B76" s="15" t="str">
        <f t="shared" ref="B76:B77" si="7">$B$66&amp;C65</f>
        <v>DébilModerado</v>
      </c>
      <c r="C76" s="15" t="s">
        <v>155</v>
      </c>
      <c r="D76" s="15" t="s">
        <v>153</v>
      </c>
    </row>
    <row r="77" spans="2:4" x14ac:dyDescent="0.25">
      <c r="B77" s="15" t="str">
        <f t="shared" si="7"/>
        <v>DébilDébil</v>
      </c>
      <c r="C77" s="15" t="s">
        <v>155</v>
      </c>
      <c r="D77" s="15" t="s">
        <v>153</v>
      </c>
    </row>
    <row r="80" spans="2:4" x14ac:dyDescent="0.25">
      <c r="B80" s="15" t="s">
        <v>152</v>
      </c>
      <c r="C80" s="15" t="s">
        <v>160</v>
      </c>
      <c r="D80" s="15" t="s">
        <v>160</v>
      </c>
    </row>
    <row r="81" spans="2:4" x14ac:dyDescent="0.25">
      <c r="B81" s="15" t="s">
        <v>23</v>
      </c>
      <c r="C81" s="15" t="s">
        <v>161</v>
      </c>
      <c r="D81" s="15" t="s">
        <v>162</v>
      </c>
    </row>
    <row r="82" spans="2:4" x14ac:dyDescent="0.25">
      <c r="D82" s="15" t="s">
        <v>161</v>
      </c>
    </row>
    <row r="85" spans="2:4" x14ac:dyDescent="0.25">
      <c r="B85" s="15" t="s">
        <v>152</v>
      </c>
      <c r="C85" s="15" t="s">
        <v>160</v>
      </c>
      <c r="D85" s="15" t="s">
        <v>160</v>
      </c>
    </row>
    <row r="86" spans="2:4" x14ac:dyDescent="0.25">
      <c r="B86" s="15" t="s">
        <v>152</v>
      </c>
      <c r="C86" s="15" t="s">
        <v>160</v>
      </c>
      <c r="D86" s="15" t="s">
        <v>162</v>
      </c>
    </row>
    <row r="87" spans="2:4" x14ac:dyDescent="0.25">
      <c r="B87" s="15" t="s">
        <v>152</v>
      </c>
      <c r="C87" s="15" t="s">
        <v>160</v>
      </c>
      <c r="D87" s="15" t="s">
        <v>161</v>
      </c>
    </row>
    <row r="88" spans="2:4" x14ac:dyDescent="0.25">
      <c r="B88" s="15" t="s">
        <v>152</v>
      </c>
      <c r="C88" s="15" t="s">
        <v>161</v>
      </c>
      <c r="D88" s="15" t="s">
        <v>160</v>
      </c>
    </row>
    <row r="89" spans="2:4" x14ac:dyDescent="0.25">
      <c r="B89" s="15" t="s">
        <v>23</v>
      </c>
      <c r="C89" s="15" t="s">
        <v>160</v>
      </c>
      <c r="D89" s="15" t="s">
        <v>160</v>
      </c>
    </row>
    <row r="90" spans="2:4" x14ac:dyDescent="0.25">
      <c r="B90" s="15" t="s">
        <v>23</v>
      </c>
      <c r="C90" s="15" t="s">
        <v>160</v>
      </c>
      <c r="D90" s="15" t="s">
        <v>162</v>
      </c>
    </row>
    <row r="91" spans="2:4" x14ac:dyDescent="0.25">
      <c r="B91" s="15" t="s">
        <v>23</v>
      </c>
      <c r="C91" s="15" t="s">
        <v>160</v>
      </c>
      <c r="D91" s="15" t="s">
        <v>161</v>
      </c>
    </row>
    <row r="92" spans="2:4" x14ac:dyDescent="0.25">
      <c r="B92" s="15" t="s">
        <v>23</v>
      </c>
      <c r="C92" s="15" t="s">
        <v>161</v>
      </c>
      <c r="D92" s="15" t="s">
        <v>160</v>
      </c>
    </row>
    <row r="94" spans="2:4" x14ac:dyDescent="0.25">
      <c r="B94" s="15" t="str">
        <f>+B85&amp;C85&amp;D85</f>
        <v>FuerteDirectamenteDirectamente</v>
      </c>
      <c r="C94" s="15">
        <v>2</v>
      </c>
      <c r="D94" s="15">
        <v>2</v>
      </c>
    </row>
    <row r="95" spans="2:4" x14ac:dyDescent="0.25">
      <c r="B95" s="15" t="str">
        <f t="shared" ref="B95:B101" si="8">+B86&amp;C86&amp;D86</f>
        <v>FuerteDirectamenteIndirectamente</v>
      </c>
      <c r="C95" s="15">
        <v>2</v>
      </c>
      <c r="D95" s="15">
        <v>1</v>
      </c>
    </row>
    <row r="96" spans="2:4" x14ac:dyDescent="0.25">
      <c r="B96" s="15" t="str">
        <f t="shared" si="8"/>
        <v>FuerteDirectamenteNo disminuye</v>
      </c>
      <c r="C96" s="15">
        <v>2</v>
      </c>
      <c r="D96" s="15">
        <v>0</v>
      </c>
    </row>
    <row r="97" spans="2:4" x14ac:dyDescent="0.25">
      <c r="B97" s="15" t="str">
        <f t="shared" si="8"/>
        <v>FuerteNo disminuyeDirectamente</v>
      </c>
      <c r="C97" s="15">
        <v>0</v>
      </c>
      <c r="D97" s="15">
        <v>2</v>
      </c>
    </row>
    <row r="98" spans="2:4" x14ac:dyDescent="0.25">
      <c r="B98" s="15" t="str">
        <f t="shared" si="8"/>
        <v>ModeradoDirectamenteDirectamente</v>
      </c>
      <c r="C98" s="15">
        <v>1</v>
      </c>
      <c r="D98" s="15">
        <v>1</v>
      </c>
    </row>
    <row r="99" spans="2:4" x14ac:dyDescent="0.25">
      <c r="B99" s="15" t="str">
        <f t="shared" si="8"/>
        <v>ModeradoDirectamenteIndirectamente</v>
      </c>
      <c r="C99" s="15">
        <v>1</v>
      </c>
      <c r="D99" s="15">
        <v>0</v>
      </c>
    </row>
    <row r="100" spans="2:4" x14ac:dyDescent="0.25">
      <c r="B100" s="15" t="str">
        <f t="shared" si="8"/>
        <v>ModeradoDirectamenteNo disminuye</v>
      </c>
      <c r="C100" s="15">
        <v>1</v>
      </c>
      <c r="D100" s="15">
        <v>0</v>
      </c>
    </row>
    <row r="101" spans="2:4" x14ac:dyDescent="0.25">
      <c r="B101" s="15" t="str">
        <f t="shared" si="8"/>
        <v>ModeradoNo disminuyeDirectamente</v>
      </c>
      <c r="C101" s="15">
        <v>0</v>
      </c>
      <c r="D101" s="15">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90530-C454-43D5-AD0F-31F4FA61F1BC}">
  <dimension ref="B1:H16"/>
  <sheetViews>
    <sheetView zoomScaleNormal="100" zoomScaleSheetLayoutView="80" workbookViewId="0">
      <selection activeCell="H14" sqref="H14"/>
    </sheetView>
  </sheetViews>
  <sheetFormatPr baseColWidth="10" defaultRowHeight="15" x14ac:dyDescent="0.25"/>
  <cols>
    <col min="1" max="1" width="1.85546875" style="4" customWidth="1"/>
    <col min="2" max="2" width="8.85546875" style="4" customWidth="1"/>
    <col min="3" max="3" width="15.42578125" style="4" customWidth="1"/>
    <col min="4" max="8" width="17" style="4" customWidth="1"/>
    <col min="9" max="9" width="2" style="4" customWidth="1"/>
    <col min="10" max="16384" width="11.42578125" style="4"/>
  </cols>
  <sheetData>
    <row r="1" spans="2:8" ht="9.75" customHeight="1" thickBot="1" x14ac:dyDescent="0.3"/>
    <row r="2" spans="2:8" ht="16.5" thickBot="1" x14ac:dyDescent="0.3">
      <c r="B2" s="665" t="s">
        <v>67</v>
      </c>
      <c r="C2" s="666"/>
      <c r="D2" s="666"/>
      <c r="E2" s="666"/>
      <c r="F2" s="666"/>
      <c r="G2" s="666"/>
      <c r="H2" s="667"/>
    </row>
    <row r="3" spans="2:8" ht="18" customHeight="1" thickBot="1" x14ac:dyDescent="0.3">
      <c r="B3" s="665" t="s">
        <v>47</v>
      </c>
      <c r="C3" s="666"/>
      <c r="D3" s="666"/>
      <c r="E3" s="666"/>
      <c r="F3" s="666"/>
      <c r="G3" s="666"/>
      <c r="H3" s="667"/>
    </row>
    <row r="4" spans="2:8" ht="15.75" customHeight="1" x14ac:dyDescent="0.25">
      <c r="B4" s="668" t="s">
        <v>49</v>
      </c>
      <c r="C4" s="669"/>
      <c r="D4" s="670" t="s">
        <v>50</v>
      </c>
      <c r="E4" s="670"/>
      <c r="F4" s="670"/>
      <c r="G4" s="670"/>
      <c r="H4" s="671"/>
    </row>
    <row r="5" spans="2:8" ht="15.75" customHeight="1" x14ac:dyDescent="0.25">
      <c r="B5" s="672" t="s">
        <v>51</v>
      </c>
      <c r="C5" s="673"/>
      <c r="D5" s="674" t="s">
        <v>52</v>
      </c>
      <c r="E5" s="674"/>
      <c r="F5" s="674"/>
      <c r="G5" s="674"/>
      <c r="H5" s="675"/>
    </row>
    <row r="6" spans="2:8" ht="15.75" customHeight="1" x14ac:dyDescent="0.25">
      <c r="B6" s="676" t="s">
        <v>53</v>
      </c>
      <c r="C6" s="677"/>
      <c r="D6" s="674" t="s">
        <v>54</v>
      </c>
      <c r="E6" s="674"/>
      <c r="F6" s="674"/>
      <c r="G6" s="674"/>
      <c r="H6" s="675"/>
    </row>
    <row r="7" spans="2:8" ht="16.5" customHeight="1" thickBot="1" x14ac:dyDescent="0.3">
      <c r="B7" s="678" t="s">
        <v>55</v>
      </c>
      <c r="C7" s="679"/>
      <c r="D7" s="680" t="s">
        <v>56</v>
      </c>
      <c r="E7" s="680"/>
      <c r="F7" s="680"/>
      <c r="G7" s="680"/>
      <c r="H7" s="681"/>
    </row>
    <row r="8" spans="2:8" ht="10.5" customHeight="1" x14ac:dyDescent="0.25">
      <c r="B8" s="48"/>
      <c r="C8" s="48"/>
      <c r="D8" s="48"/>
      <c r="E8" s="48"/>
      <c r="F8" s="48"/>
      <c r="G8" s="48"/>
      <c r="H8" s="48"/>
    </row>
    <row r="9" spans="2:8" ht="15.75" thickBot="1" x14ac:dyDescent="0.3">
      <c r="B9" s="48"/>
      <c r="C9" s="48"/>
      <c r="D9" s="48"/>
      <c r="E9" s="48"/>
      <c r="F9" s="48"/>
      <c r="G9" s="48"/>
      <c r="H9" s="48"/>
    </row>
    <row r="10" spans="2:8" ht="21.75" customHeight="1" thickBot="1" x14ac:dyDescent="0.3">
      <c r="B10" s="682" t="s">
        <v>3</v>
      </c>
      <c r="C10" s="49" t="s">
        <v>283</v>
      </c>
      <c r="D10" s="5" t="s">
        <v>53</v>
      </c>
      <c r="E10" s="5" t="s">
        <v>53</v>
      </c>
      <c r="F10" s="50" t="s">
        <v>55</v>
      </c>
      <c r="G10" s="50" t="s">
        <v>55</v>
      </c>
      <c r="H10" s="6" t="s">
        <v>55</v>
      </c>
    </row>
    <row r="11" spans="2:8" ht="21.75" customHeight="1" thickBot="1" x14ac:dyDescent="0.3">
      <c r="B11" s="683"/>
      <c r="C11" s="51" t="s">
        <v>64</v>
      </c>
      <c r="D11" s="10" t="s">
        <v>51</v>
      </c>
      <c r="E11" s="11" t="s">
        <v>53</v>
      </c>
      <c r="F11" s="11" t="s">
        <v>53</v>
      </c>
      <c r="G11" s="24" t="s">
        <v>55</v>
      </c>
      <c r="H11" s="25" t="s">
        <v>55</v>
      </c>
    </row>
    <row r="12" spans="2:8" ht="21.75" customHeight="1" thickBot="1" x14ac:dyDescent="0.3">
      <c r="B12" s="683"/>
      <c r="C12" s="51" t="s">
        <v>63</v>
      </c>
      <c r="D12" s="23" t="s">
        <v>49</v>
      </c>
      <c r="E12" s="10" t="s">
        <v>51</v>
      </c>
      <c r="F12" s="11" t="s">
        <v>53</v>
      </c>
      <c r="G12" s="24" t="s">
        <v>55</v>
      </c>
      <c r="H12" s="25" t="s">
        <v>55</v>
      </c>
    </row>
    <row r="13" spans="2:8" ht="21.75" customHeight="1" thickBot="1" x14ac:dyDescent="0.3">
      <c r="B13" s="683"/>
      <c r="C13" s="51" t="s">
        <v>62</v>
      </c>
      <c r="D13" s="23" t="s">
        <v>49</v>
      </c>
      <c r="E13" s="23" t="s">
        <v>49</v>
      </c>
      <c r="F13" s="10" t="s">
        <v>51</v>
      </c>
      <c r="G13" s="11" t="s">
        <v>53</v>
      </c>
      <c r="H13" s="25" t="s">
        <v>55</v>
      </c>
    </row>
    <row r="14" spans="2:8" ht="21.75" customHeight="1" thickBot="1" x14ac:dyDescent="0.3">
      <c r="B14" s="683"/>
      <c r="C14" s="52" t="s">
        <v>134</v>
      </c>
      <c r="D14" s="23" t="s">
        <v>49</v>
      </c>
      <c r="E14" s="23" t="s">
        <v>49</v>
      </c>
      <c r="F14" s="10" t="s">
        <v>51</v>
      </c>
      <c r="G14" s="11" t="s">
        <v>53</v>
      </c>
      <c r="H14" s="25" t="s">
        <v>55</v>
      </c>
    </row>
    <row r="15" spans="2:8" ht="16.5" thickBot="1" x14ac:dyDescent="0.3">
      <c r="B15" s="683"/>
      <c r="C15" s="53"/>
      <c r="D15" s="7" t="s">
        <v>57</v>
      </c>
      <c r="E15" s="8" t="s">
        <v>58</v>
      </c>
      <c r="F15" s="8" t="s">
        <v>59</v>
      </c>
      <c r="G15" s="8" t="s">
        <v>60</v>
      </c>
      <c r="H15" s="9" t="s">
        <v>61</v>
      </c>
    </row>
    <row r="16" spans="2:8" ht="21" customHeight="1" thickBot="1" x14ac:dyDescent="0.3">
      <c r="B16" s="684"/>
      <c r="C16" s="685" t="s">
        <v>284</v>
      </c>
      <c r="D16" s="685"/>
      <c r="E16" s="685"/>
      <c r="F16" s="685"/>
      <c r="G16" s="685"/>
      <c r="H16" s="686"/>
    </row>
  </sheetData>
  <mergeCells count="12">
    <mergeCell ref="B6:C6"/>
    <mergeCell ref="D6:H6"/>
    <mergeCell ref="B7:C7"/>
    <mergeCell ref="D7:H7"/>
    <mergeCell ref="B10:B16"/>
    <mergeCell ref="C16:H16"/>
    <mergeCell ref="B2:H2"/>
    <mergeCell ref="B3:H3"/>
    <mergeCell ref="B4:C4"/>
    <mergeCell ref="D4:H4"/>
    <mergeCell ref="B5:C5"/>
    <mergeCell ref="D5:H5"/>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39"/>
  <sheetViews>
    <sheetView showGridLines="0" tabSelected="1" view="pageBreakPreview" zoomScale="70" zoomScaleNormal="70" zoomScaleSheetLayoutView="70" zoomScalePageLayoutView="70" workbookViewId="0">
      <pane ySplit="1" topLeftCell="A207" activePane="bottomLeft" state="frozen"/>
      <selection pane="bottomLeft" activeCell="C241" sqref="C241"/>
    </sheetView>
  </sheetViews>
  <sheetFormatPr baseColWidth="10" defaultColWidth="11.42578125" defaultRowHeight="11.25" x14ac:dyDescent="0.25"/>
  <cols>
    <col min="1" max="1" width="4.28515625" style="19" customWidth="1"/>
    <col min="2" max="2" width="20.7109375" style="19" customWidth="1"/>
    <col min="3" max="3" width="10.5703125" style="19" customWidth="1"/>
    <col min="4" max="4" width="32.42578125" style="19" customWidth="1"/>
    <col min="5" max="5" width="52.42578125" style="19" hidden="1" customWidth="1"/>
    <col min="6" max="6" width="23.42578125" style="19" customWidth="1"/>
    <col min="7" max="7" width="26.7109375" style="19" hidden="1" customWidth="1"/>
    <col min="8" max="8" width="23.5703125" style="19" customWidth="1"/>
    <col min="9" max="9" width="32.140625" style="19" hidden="1" customWidth="1"/>
    <col min="10" max="10" width="33.140625" style="19" customWidth="1"/>
    <col min="11" max="11" width="26.7109375" style="19" customWidth="1"/>
    <col min="12" max="13" width="26.7109375" style="19" hidden="1" customWidth="1"/>
    <col min="14" max="14" width="24" style="19" hidden="1" customWidth="1" collapsed="1"/>
    <col min="15" max="17" width="22.5703125" style="19" hidden="1" customWidth="1"/>
    <col min="18" max="18" width="28.85546875" style="19" hidden="1" customWidth="1" collapsed="1"/>
    <col min="19" max="19" width="20.140625" style="19" hidden="1" customWidth="1"/>
    <col min="20" max="20" width="34.42578125" style="19" hidden="1" customWidth="1"/>
    <col min="21" max="21" width="23.28515625" style="19" hidden="1" customWidth="1"/>
    <col min="22" max="22" width="34.5703125" style="19" hidden="1" customWidth="1"/>
    <col min="23" max="23" width="23.28515625" style="19" hidden="1" customWidth="1"/>
    <col min="24" max="24" width="39.7109375" style="19" hidden="1" customWidth="1"/>
    <col min="25" max="25" width="23.28515625" style="19" hidden="1" customWidth="1"/>
    <col min="26" max="26" width="39.7109375" style="19" hidden="1" customWidth="1"/>
    <col min="27" max="27" width="23.28515625" style="19" hidden="1" customWidth="1"/>
    <col min="28" max="28" width="36.28515625" style="19" hidden="1" customWidth="1"/>
    <col min="29" max="29" width="23.28515625" style="19" hidden="1" customWidth="1"/>
    <col min="30" max="30" width="39.7109375" style="19" hidden="1" customWidth="1"/>
    <col min="31" max="31" width="20" style="19" hidden="1" customWidth="1"/>
    <col min="32" max="32" width="34.5703125" style="19" hidden="1" customWidth="1"/>
    <col min="33" max="33" width="20" style="19" hidden="1" customWidth="1"/>
    <col min="34" max="34" width="14.5703125" style="19" hidden="1" customWidth="1"/>
    <col min="35" max="35" width="20" style="19" hidden="1" customWidth="1"/>
    <col min="36" max="36" width="23" style="19" hidden="1" customWidth="1"/>
    <col min="37" max="37" width="22.42578125" style="19" hidden="1" customWidth="1"/>
    <col min="38" max="40" width="17.28515625" style="19" hidden="1" customWidth="1"/>
    <col min="41" max="41" width="27" style="19" hidden="1" customWidth="1"/>
    <col min="42" max="42" width="12.28515625" style="19" hidden="1" customWidth="1"/>
    <col min="43" max="43" width="14.5703125" style="19" hidden="1" customWidth="1"/>
    <col min="44" max="45" width="23.28515625" style="19" hidden="1" customWidth="1"/>
    <col min="46" max="46" width="17.28515625" style="19" hidden="1" customWidth="1"/>
    <col min="47" max="48" width="20" style="19" hidden="1" customWidth="1"/>
    <col min="49" max="49" width="25.5703125" style="19" customWidth="1"/>
    <col min="50" max="50" width="23" style="19" customWidth="1"/>
    <col min="51" max="51" width="19.7109375" style="19" hidden="1" customWidth="1"/>
    <col min="52" max="53" width="19.7109375" style="19" customWidth="1"/>
    <col min="54" max="54" width="27.28515625" style="19" customWidth="1"/>
    <col min="55" max="56" width="20.42578125" style="19" customWidth="1"/>
    <col min="57" max="59" width="27.28515625" style="19" customWidth="1"/>
    <col min="60" max="60" width="22.7109375" style="19" customWidth="1"/>
    <col min="61" max="61" width="21.5703125" style="19" customWidth="1"/>
    <col min="62" max="62" width="15.28515625" style="19" customWidth="1"/>
    <col min="63" max="16384" width="11.42578125" style="19"/>
  </cols>
  <sheetData>
    <row r="1" spans="2:62" x14ac:dyDescent="0.25">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row>
    <row r="2" spans="2:62" s="21" customFormat="1" ht="7.5" customHeight="1" x14ac:dyDescent="0.25">
      <c r="B2" s="498"/>
      <c r="C2" s="498"/>
      <c r="D2" s="498"/>
      <c r="E2" s="498"/>
      <c r="F2" s="498"/>
      <c r="G2" s="498"/>
      <c r="H2" s="498"/>
      <c r="I2" s="498"/>
      <c r="J2" s="498"/>
      <c r="K2" s="498"/>
      <c r="L2" s="498"/>
      <c r="M2" s="498"/>
      <c r="N2" s="498"/>
      <c r="O2" s="498"/>
      <c r="P2" s="498"/>
      <c r="Q2" s="498"/>
      <c r="R2" s="498"/>
      <c r="S2" s="498"/>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row>
    <row r="3" spans="2:62" s="21" customFormat="1" ht="7.5" customHeight="1" x14ac:dyDescent="0.25">
      <c r="B3" s="499"/>
      <c r="C3" s="499"/>
      <c r="D3" s="499"/>
      <c r="E3" s="499"/>
      <c r="F3" s="499"/>
      <c r="G3" s="499"/>
      <c r="H3" s="499"/>
      <c r="I3" s="499"/>
      <c r="J3" s="499"/>
      <c r="K3" s="499"/>
      <c r="L3" s="499"/>
      <c r="M3" s="499"/>
      <c r="N3" s="499"/>
      <c r="O3" s="499"/>
      <c r="P3" s="499"/>
      <c r="Q3" s="499"/>
      <c r="R3" s="499"/>
      <c r="S3" s="499"/>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row>
    <row r="4" spans="2:62" s="21" customFormat="1" ht="7.5" customHeight="1" x14ac:dyDescent="0.25">
      <c r="B4" s="499"/>
      <c r="C4" s="499"/>
      <c r="D4" s="499"/>
      <c r="E4" s="499"/>
      <c r="F4" s="499"/>
      <c r="G4" s="499"/>
      <c r="H4" s="499"/>
      <c r="I4" s="499"/>
      <c r="J4" s="499"/>
      <c r="K4" s="499"/>
      <c r="L4" s="499"/>
      <c r="M4" s="499"/>
      <c r="N4" s="499"/>
      <c r="O4" s="499"/>
      <c r="P4" s="499"/>
      <c r="Q4" s="499"/>
      <c r="R4" s="499"/>
      <c r="S4" s="499"/>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row>
    <row r="5" spans="2:62" s="21" customFormat="1" ht="7.5" customHeight="1" x14ac:dyDescent="0.25"/>
    <row r="6" spans="2:62" s="21" customFormat="1" ht="7.5" customHeight="1" x14ac:dyDescent="0.25"/>
    <row r="7" spans="2:62" s="16" customFormat="1" ht="7.5" customHeight="1" thickBot="1" x14ac:dyDescent="0.3">
      <c r="M7" s="17"/>
      <c r="P7" s="18"/>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row>
    <row r="8" spans="2:62" s="16" customFormat="1" ht="25.5" customHeight="1" x14ac:dyDescent="0.25">
      <c r="B8" s="524" t="s">
        <v>176</v>
      </c>
      <c r="C8" s="525" t="s">
        <v>177</v>
      </c>
      <c r="D8" s="525" t="s">
        <v>178</v>
      </c>
      <c r="E8" s="526" t="s">
        <v>179</v>
      </c>
      <c r="F8" s="525" t="s">
        <v>181</v>
      </c>
      <c r="G8" s="526" t="s">
        <v>182</v>
      </c>
      <c r="H8" s="525" t="s">
        <v>180</v>
      </c>
      <c r="I8" s="526" t="s">
        <v>183</v>
      </c>
      <c r="J8" s="525" t="s">
        <v>184</v>
      </c>
      <c r="K8" s="525" t="s">
        <v>185</v>
      </c>
      <c r="L8" s="526" t="s">
        <v>186</v>
      </c>
      <c r="M8" s="529"/>
      <c r="N8" s="526" t="s">
        <v>0</v>
      </c>
      <c r="O8" s="526"/>
      <c r="P8" s="526"/>
      <c r="Q8" s="90" t="s">
        <v>325</v>
      </c>
      <c r="R8" s="526" t="s">
        <v>1</v>
      </c>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39" t="s">
        <v>326</v>
      </c>
      <c r="AX8" s="540"/>
      <c r="AY8" s="540"/>
      <c r="AZ8" s="541"/>
      <c r="BA8" s="536" t="s">
        <v>7</v>
      </c>
      <c r="BB8" s="524" t="s">
        <v>170</v>
      </c>
      <c r="BC8" s="525"/>
      <c r="BD8" s="525"/>
      <c r="BE8" s="525"/>
      <c r="BF8" s="525"/>
      <c r="BG8" s="525" t="s">
        <v>175</v>
      </c>
      <c r="BH8" s="525"/>
      <c r="BI8" s="525"/>
      <c r="BJ8" s="525"/>
    </row>
    <row r="9" spans="2:62" s="16" customFormat="1" ht="33.75" customHeight="1" x14ac:dyDescent="0.25">
      <c r="B9" s="520"/>
      <c r="C9" s="522"/>
      <c r="D9" s="522"/>
      <c r="E9" s="527"/>
      <c r="F9" s="522"/>
      <c r="G9" s="527"/>
      <c r="H9" s="522"/>
      <c r="I9" s="527"/>
      <c r="J9" s="522"/>
      <c r="K9" s="522"/>
      <c r="L9" s="527"/>
      <c r="M9" s="530"/>
      <c r="N9" s="527" t="s">
        <v>3</v>
      </c>
      <c r="O9" s="527" t="s">
        <v>4</v>
      </c>
      <c r="P9" s="527"/>
      <c r="Q9" s="532" t="s">
        <v>5</v>
      </c>
      <c r="R9" s="527" t="s">
        <v>69</v>
      </c>
      <c r="S9" s="527"/>
      <c r="T9" s="527" t="s">
        <v>143</v>
      </c>
      <c r="U9" s="91"/>
      <c r="V9" s="527" t="s">
        <v>144</v>
      </c>
      <c r="W9" s="91"/>
      <c r="X9" s="527" t="s">
        <v>145</v>
      </c>
      <c r="Y9" s="91"/>
      <c r="Z9" s="527" t="s">
        <v>146</v>
      </c>
      <c r="AA9" s="91"/>
      <c r="AB9" s="527" t="s">
        <v>147</v>
      </c>
      <c r="AC9" s="91"/>
      <c r="AD9" s="527" t="s">
        <v>148</v>
      </c>
      <c r="AE9" s="91"/>
      <c r="AF9" s="527" t="s">
        <v>149</v>
      </c>
      <c r="AG9" s="91"/>
      <c r="AH9" s="527" t="s">
        <v>6</v>
      </c>
      <c r="AI9" s="527" t="s">
        <v>150</v>
      </c>
      <c r="AJ9" s="527" t="s">
        <v>151</v>
      </c>
      <c r="AK9" s="527"/>
      <c r="AL9" s="92"/>
      <c r="AM9" s="527" t="s">
        <v>157</v>
      </c>
      <c r="AN9" s="527"/>
      <c r="AO9" s="527" t="s">
        <v>156</v>
      </c>
      <c r="AP9" s="527" t="s">
        <v>294</v>
      </c>
      <c r="AQ9" s="527"/>
      <c r="AR9" s="527" t="s">
        <v>158</v>
      </c>
      <c r="AS9" s="527" t="s">
        <v>159</v>
      </c>
      <c r="AT9" s="91"/>
      <c r="AU9" s="527" t="s">
        <v>2</v>
      </c>
      <c r="AV9" s="527"/>
      <c r="AW9" s="522" t="s">
        <v>3</v>
      </c>
      <c r="AX9" s="522" t="s">
        <v>4</v>
      </c>
      <c r="AY9" s="530"/>
      <c r="AZ9" s="522" t="s">
        <v>5</v>
      </c>
      <c r="BA9" s="537"/>
      <c r="BB9" s="520" t="s">
        <v>174</v>
      </c>
      <c r="BC9" s="522" t="s">
        <v>295</v>
      </c>
      <c r="BD9" s="522" t="s">
        <v>171</v>
      </c>
      <c r="BE9" s="522" t="s">
        <v>172</v>
      </c>
      <c r="BF9" s="522" t="s">
        <v>173</v>
      </c>
      <c r="BG9" s="522" t="s">
        <v>68</v>
      </c>
      <c r="BH9" s="522" t="s">
        <v>295</v>
      </c>
      <c r="BI9" s="522" t="s">
        <v>171</v>
      </c>
      <c r="BJ9" s="522" t="s">
        <v>172</v>
      </c>
    </row>
    <row r="10" spans="2:62" s="16" customFormat="1" ht="48" customHeight="1" thickBot="1" x14ac:dyDescent="0.3">
      <c r="B10" s="521"/>
      <c r="C10" s="523"/>
      <c r="D10" s="523"/>
      <c r="E10" s="528"/>
      <c r="F10" s="523"/>
      <c r="G10" s="528"/>
      <c r="H10" s="523"/>
      <c r="I10" s="528"/>
      <c r="J10" s="523"/>
      <c r="K10" s="523"/>
      <c r="L10" s="528"/>
      <c r="M10" s="531"/>
      <c r="N10" s="528"/>
      <c r="O10" s="528"/>
      <c r="P10" s="528"/>
      <c r="Q10" s="533"/>
      <c r="R10" s="528"/>
      <c r="S10" s="528"/>
      <c r="T10" s="528"/>
      <c r="U10" s="93"/>
      <c r="V10" s="528"/>
      <c r="W10" s="93"/>
      <c r="X10" s="528"/>
      <c r="Y10" s="93"/>
      <c r="Z10" s="528"/>
      <c r="AA10" s="93"/>
      <c r="AB10" s="528"/>
      <c r="AC10" s="93"/>
      <c r="AD10" s="528"/>
      <c r="AE10" s="93"/>
      <c r="AF10" s="528"/>
      <c r="AG10" s="93"/>
      <c r="AH10" s="528"/>
      <c r="AI10" s="528"/>
      <c r="AJ10" s="528"/>
      <c r="AK10" s="528"/>
      <c r="AL10" s="94"/>
      <c r="AM10" s="528"/>
      <c r="AN10" s="528"/>
      <c r="AO10" s="528"/>
      <c r="AP10" s="528"/>
      <c r="AQ10" s="528"/>
      <c r="AR10" s="528"/>
      <c r="AS10" s="528"/>
      <c r="AT10" s="94"/>
      <c r="AU10" s="94" t="s">
        <v>163</v>
      </c>
      <c r="AV10" s="94" t="s">
        <v>164</v>
      </c>
      <c r="AW10" s="523"/>
      <c r="AX10" s="523"/>
      <c r="AY10" s="531"/>
      <c r="AZ10" s="523"/>
      <c r="BA10" s="538"/>
      <c r="BB10" s="521"/>
      <c r="BC10" s="523"/>
      <c r="BD10" s="523"/>
      <c r="BE10" s="523"/>
      <c r="BF10" s="523"/>
      <c r="BG10" s="523"/>
      <c r="BH10" s="523"/>
      <c r="BI10" s="523"/>
      <c r="BJ10" s="523"/>
    </row>
    <row r="11" spans="2:62" s="86" customFormat="1" ht="48" x14ac:dyDescent="0.25">
      <c r="B11" s="376" t="s">
        <v>71</v>
      </c>
      <c r="C11" s="361">
        <v>1</v>
      </c>
      <c r="D11" s="373" t="s">
        <v>327</v>
      </c>
      <c r="E11" s="373" t="s">
        <v>328</v>
      </c>
      <c r="F11" s="361" t="s">
        <v>89</v>
      </c>
      <c r="G11" s="361" t="s">
        <v>92</v>
      </c>
      <c r="H11" s="373" t="s">
        <v>329</v>
      </c>
      <c r="I11" s="379" t="s">
        <v>128</v>
      </c>
      <c r="J11" s="379"/>
      <c r="K11" s="109" t="s">
        <v>330</v>
      </c>
      <c r="L11" s="339" t="s">
        <v>285</v>
      </c>
      <c r="M11" s="364" t="str">
        <f>IF(F11="gestion","impacto",IF(F11="corrupcion","impactocorrupcion",IF(F11="seguridad_de_la_informacion","impacto","")))</f>
        <v>impacto</v>
      </c>
      <c r="N11" s="361" t="s">
        <v>134</v>
      </c>
      <c r="O11" s="361" t="s">
        <v>24</v>
      </c>
      <c r="P11" s="364" t="str">
        <f>N11&amp;O11</f>
        <v>Rara vezMayor</v>
      </c>
      <c r="Q11" s="370" t="str">
        <f>IFERROR(VLOOKUP(P11,[3]FORMULAS!$B$37:$C$61,2,FALSE),"")</f>
        <v>Riesgo alto</v>
      </c>
      <c r="R11" s="373" t="s">
        <v>324</v>
      </c>
      <c r="S11" s="373"/>
      <c r="T11" s="112" t="s">
        <v>286</v>
      </c>
      <c r="U11" s="113">
        <f>IF(T11="Asignado",15,0)</f>
        <v>15</v>
      </c>
      <c r="V11" s="112" t="s">
        <v>287</v>
      </c>
      <c r="W11" s="113">
        <f>IF(V11="Adecuado",15,0)</f>
        <v>15</v>
      </c>
      <c r="X11" s="112" t="s">
        <v>288</v>
      </c>
      <c r="Y11" s="113">
        <f>IF(X11="Oportuna",15,0)</f>
        <v>15</v>
      </c>
      <c r="Z11" s="112" t="s">
        <v>291</v>
      </c>
      <c r="AA11" s="113">
        <f>IF(Z11="Prevenir",15,IF(Z11="Detectar",10,0))</f>
        <v>15</v>
      </c>
      <c r="AB11" s="112" t="s">
        <v>290</v>
      </c>
      <c r="AC11" s="113">
        <f>IF(AB11="Confiable",15,0)</f>
        <v>15</v>
      </c>
      <c r="AD11" s="112" t="s">
        <v>292</v>
      </c>
      <c r="AE11" s="113">
        <f>IF(AD11="Se investigan y resuelven oportunamente",15,0)</f>
        <v>15</v>
      </c>
      <c r="AF11" s="112" t="s">
        <v>289</v>
      </c>
      <c r="AG11" s="113">
        <f>IF(AF11="Completa",10,IF(AF11="incompleta",5,0))</f>
        <v>10</v>
      </c>
      <c r="AH11" s="114">
        <f t="shared" ref="AH11:AH38" si="0">U11+W11+Y11+AA11+AC11+AE11+AG11</f>
        <v>100</v>
      </c>
      <c r="AI11" s="114" t="str">
        <f>IF(AH11&gt;=96,"Fuerte",IF(AH11&gt;=86,"Moderado",IF(AH11&gt;=1,"Débil","")))</f>
        <v>Fuerte</v>
      </c>
      <c r="AJ11" s="115" t="s">
        <v>293</v>
      </c>
      <c r="AK11" s="114" t="str">
        <f>IF(AJ11="Siempre se ejecuta","Fuerte",IF(AJ11="Algunas veces","Moderado",IF(AJ11="no se ejecuta","Débil","")))</f>
        <v>Fuerte</v>
      </c>
      <c r="AL11" s="114" t="str">
        <f>AI11&amp;AK11</f>
        <v>FuerteFuerte</v>
      </c>
      <c r="AM11" s="114" t="str">
        <f>IFERROR(VLOOKUP(AL11,[3]FORMULAS!$B$69:$D$77,3,FALSE),"")</f>
        <v>Fuerte</v>
      </c>
      <c r="AN11" s="114">
        <f>IF(AM11="fuerte",100,IF(AM11="Moderado",50,IF(AM11="débil",0,"")))</f>
        <v>100</v>
      </c>
      <c r="AO11" s="114" t="str">
        <f>IFERROR(VLOOKUP(AL11,[3]FORMULAS!$B$69:$D$77,2,FALSE),"")</f>
        <v>No</v>
      </c>
      <c r="AP11" s="358">
        <f>IFERROR(AVERAGE(AN11:AN14),0)</f>
        <v>83.333333333333329</v>
      </c>
      <c r="AQ11" s="358" t="str">
        <f>IF(AP11&gt;=100,"Fuerte",IF(AP11&gt;=50,"Moderado",IF(AP11&gt;=1,"Débil","")))</f>
        <v>Moderado</v>
      </c>
      <c r="AR11" s="355" t="s">
        <v>160</v>
      </c>
      <c r="AS11" s="355" t="s">
        <v>162</v>
      </c>
      <c r="AT11" s="358" t="str">
        <f>+AQ11&amp;AR11&amp;AS11</f>
        <v>ModeradoDirectamenteIndirectamente</v>
      </c>
      <c r="AU11" s="358">
        <f>IFERROR(VLOOKUP(AT11,[3]FORMULAS!$B$94:$D$101,2,FALSE),0)</f>
        <v>1</v>
      </c>
      <c r="AV11" s="358">
        <f>IFERROR(VLOOKUP(AT11,[3]FORMULAS!$B$94:$D$101,3,FALSE),0)</f>
        <v>0</v>
      </c>
      <c r="AW11" s="361" t="s">
        <v>134</v>
      </c>
      <c r="AX11" s="361" t="s">
        <v>24</v>
      </c>
      <c r="AY11" s="364" t="str">
        <f>AW11&amp;AX11</f>
        <v>Rara vezMayor</v>
      </c>
      <c r="AZ11" s="367" t="str">
        <f>IFERROR(VLOOKUP(AY11,[3]FORMULAS!$B$37:$C$61,2,FALSE),"")</f>
        <v>Riesgo alto</v>
      </c>
      <c r="BA11" s="370" t="s">
        <v>166</v>
      </c>
      <c r="BB11" s="118" t="s">
        <v>331</v>
      </c>
      <c r="BC11" s="119" t="s">
        <v>332</v>
      </c>
      <c r="BD11" s="119" t="s">
        <v>333</v>
      </c>
      <c r="BE11" s="120" t="s">
        <v>334</v>
      </c>
      <c r="BF11" s="548" t="s">
        <v>417</v>
      </c>
      <c r="BG11" s="542" t="s">
        <v>343</v>
      </c>
      <c r="BH11" s="333" t="s">
        <v>344</v>
      </c>
      <c r="BI11" s="333" t="s">
        <v>333</v>
      </c>
      <c r="BJ11" s="393" t="s">
        <v>345</v>
      </c>
    </row>
    <row r="12" spans="2:62" s="86" customFormat="1" ht="48" x14ac:dyDescent="0.25">
      <c r="B12" s="377"/>
      <c r="C12" s="362"/>
      <c r="D12" s="374"/>
      <c r="E12" s="374"/>
      <c r="F12" s="362"/>
      <c r="G12" s="362"/>
      <c r="H12" s="374"/>
      <c r="I12" s="380"/>
      <c r="J12" s="380"/>
      <c r="K12" s="121" t="s">
        <v>335</v>
      </c>
      <c r="L12" s="341"/>
      <c r="M12" s="365"/>
      <c r="N12" s="362"/>
      <c r="O12" s="362"/>
      <c r="P12" s="365"/>
      <c r="Q12" s="371"/>
      <c r="R12" s="406" t="s">
        <v>336</v>
      </c>
      <c r="S12" s="406"/>
      <c r="T12" s="96" t="s">
        <v>286</v>
      </c>
      <c r="U12" s="95">
        <f t="shared" ref="U12:U14" si="1">IF(T12="Asignado",15,0)</f>
        <v>15</v>
      </c>
      <c r="V12" s="96" t="s">
        <v>287</v>
      </c>
      <c r="W12" s="95">
        <f t="shared" ref="W12:W14" si="2">IF(V12="Adecuado",15,0)</f>
        <v>15</v>
      </c>
      <c r="X12" s="96" t="s">
        <v>288</v>
      </c>
      <c r="Y12" s="95">
        <f t="shared" ref="Y12:Y14" si="3">IF(X12="Oportuna",15,0)</f>
        <v>15</v>
      </c>
      <c r="Z12" s="96" t="s">
        <v>291</v>
      </c>
      <c r="AA12" s="95">
        <f t="shared" ref="AA12:AA14" si="4">IF(Z12="Prevenir",15,IF(Z12="Detectar",10,0))</f>
        <v>15</v>
      </c>
      <c r="AB12" s="96" t="s">
        <v>290</v>
      </c>
      <c r="AC12" s="95">
        <f t="shared" ref="AC12:AC14" si="5">IF(AB12="Confiable",15,0)</f>
        <v>15</v>
      </c>
      <c r="AD12" s="96" t="s">
        <v>292</v>
      </c>
      <c r="AE12" s="95">
        <f t="shared" ref="AE12:AE14" si="6">IF(AD12="Se investigan y resuelven oportunamente",15,0)</f>
        <v>15</v>
      </c>
      <c r="AF12" s="96" t="s">
        <v>289</v>
      </c>
      <c r="AG12" s="95">
        <f t="shared" ref="AG12:AG14" si="7">IF(AF12="Completa",10,IF(AF12="incompleta",5,0))</f>
        <v>10</v>
      </c>
      <c r="AH12" s="99">
        <f t="shared" si="0"/>
        <v>100</v>
      </c>
      <c r="AI12" s="99" t="str">
        <f>IF(AH12&gt;=96,"Fuerte",IF(AH12&gt;=86,"Moderado",IF(AH12&gt;=1,"Débil","")))</f>
        <v>Fuerte</v>
      </c>
      <c r="AJ12" s="98" t="s">
        <v>293</v>
      </c>
      <c r="AK12" s="99" t="str">
        <f t="shared" ref="AK12:AK14" si="8">IF(AJ12="Siempre se ejecuta","Fuerte",IF(AJ12="Algunas veces","Moderado",IF(AJ12="no se ejecuta","Débil","")))</f>
        <v>Fuerte</v>
      </c>
      <c r="AL12" s="99" t="str">
        <f t="shared" ref="AL12:AL14" si="9">AI12&amp;AK12</f>
        <v>FuerteFuerte</v>
      </c>
      <c r="AM12" s="99" t="str">
        <f>IFERROR(VLOOKUP(AL12,[3]FORMULAS!$B$69:$D$77,3,FALSE),"")</f>
        <v>Fuerte</v>
      </c>
      <c r="AN12" s="99">
        <f t="shared" ref="AN12:AN14" si="10">IF(AM12="fuerte",100,IF(AM12="Moderado",50,IF(AM12="débil",0,"")))</f>
        <v>100</v>
      </c>
      <c r="AO12" s="99" t="str">
        <f>IFERROR(VLOOKUP(AL12,[3]FORMULAS!$B$69:$C$77,2,FALSE),"")</f>
        <v>No</v>
      </c>
      <c r="AP12" s="359"/>
      <c r="AQ12" s="359"/>
      <c r="AR12" s="356"/>
      <c r="AS12" s="356"/>
      <c r="AT12" s="359"/>
      <c r="AU12" s="359"/>
      <c r="AV12" s="359"/>
      <c r="AW12" s="362"/>
      <c r="AX12" s="362"/>
      <c r="AY12" s="365"/>
      <c r="AZ12" s="368"/>
      <c r="BA12" s="371"/>
      <c r="BB12" s="122" t="s">
        <v>337</v>
      </c>
      <c r="BC12" s="84" t="s">
        <v>338</v>
      </c>
      <c r="BD12" s="84" t="s">
        <v>333</v>
      </c>
      <c r="BE12" s="123" t="s">
        <v>334</v>
      </c>
      <c r="BF12" s="549"/>
      <c r="BG12" s="543"/>
      <c r="BH12" s="334"/>
      <c r="BI12" s="334"/>
      <c r="BJ12" s="394"/>
    </row>
    <row r="13" spans="2:62" s="86" customFormat="1" ht="60" x14ac:dyDescent="0.25">
      <c r="B13" s="377"/>
      <c r="C13" s="362"/>
      <c r="D13" s="374"/>
      <c r="E13" s="374"/>
      <c r="F13" s="362"/>
      <c r="G13" s="362"/>
      <c r="H13" s="374"/>
      <c r="I13" s="380"/>
      <c r="J13" s="380"/>
      <c r="K13" s="121" t="s">
        <v>339</v>
      </c>
      <c r="L13" s="341"/>
      <c r="M13" s="365"/>
      <c r="N13" s="362"/>
      <c r="O13" s="362"/>
      <c r="P13" s="365"/>
      <c r="Q13" s="371"/>
      <c r="R13" s="374" t="s">
        <v>340</v>
      </c>
      <c r="S13" s="374"/>
      <c r="T13" s="96" t="s">
        <v>286</v>
      </c>
      <c r="U13" s="95">
        <f t="shared" si="1"/>
        <v>15</v>
      </c>
      <c r="V13" s="96" t="s">
        <v>287</v>
      </c>
      <c r="W13" s="95">
        <f t="shared" si="2"/>
        <v>15</v>
      </c>
      <c r="X13" s="96" t="s">
        <v>288</v>
      </c>
      <c r="Y13" s="95">
        <f t="shared" si="3"/>
        <v>15</v>
      </c>
      <c r="Z13" s="96" t="s">
        <v>341</v>
      </c>
      <c r="AA13" s="95">
        <f t="shared" si="4"/>
        <v>10</v>
      </c>
      <c r="AB13" s="96" t="s">
        <v>290</v>
      </c>
      <c r="AC13" s="95">
        <f t="shared" si="5"/>
        <v>15</v>
      </c>
      <c r="AD13" s="96" t="s">
        <v>292</v>
      </c>
      <c r="AE13" s="95">
        <f t="shared" si="6"/>
        <v>15</v>
      </c>
      <c r="AF13" s="96" t="s">
        <v>289</v>
      </c>
      <c r="AG13" s="95">
        <f t="shared" si="7"/>
        <v>10</v>
      </c>
      <c r="AH13" s="99">
        <f t="shared" si="0"/>
        <v>95</v>
      </c>
      <c r="AI13" s="99" t="str">
        <f t="shared" ref="AI13:AI14" si="11">IF(AH13&gt;=96,"Fuerte",IF(AH13&gt;=86,"Moderado",IF(AH13&gt;=1,"Débil","")))</f>
        <v>Moderado</v>
      </c>
      <c r="AJ13" s="98" t="s">
        <v>342</v>
      </c>
      <c r="AK13" s="99" t="str">
        <f t="shared" si="8"/>
        <v>Moderado</v>
      </c>
      <c r="AL13" s="99" t="str">
        <f t="shared" si="9"/>
        <v>ModeradoModerado</v>
      </c>
      <c r="AM13" s="99" t="str">
        <f>IFERROR(VLOOKUP(AL13,[3]FORMULAS!$B$69:$D$77,3,FALSE),"")</f>
        <v>Moderado</v>
      </c>
      <c r="AN13" s="99">
        <f t="shared" si="10"/>
        <v>50</v>
      </c>
      <c r="AO13" s="99" t="str">
        <f>IFERROR(VLOOKUP(AL13,[3]FORMULAS!$B$69:$C$77,2,FALSE),"")</f>
        <v>Sí</v>
      </c>
      <c r="AP13" s="359"/>
      <c r="AQ13" s="359"/>
      <c r="AR13" s="356"/>
      <c r="AS13" s="356"/>
      <c r="AT13" s="359"/>
      <c r="AU13" s="359"/>
      <c r="AV13" s="359"/>
      <c r="AW13" s="362"/>
      <c r="AX13" s="362"/>
      <c r="AY13" s="365"/>
      <c r="AZ13" s="368"/>
      <c r="BA13" s="371"/>
      <c r="BB13" s="101"/>
      <c r="BC13" s="82"/>
      <c r="BD13" s="82"/>
      <c r="BE13" s="123"/>
      <c r="BF13" s="549"/>
      <c r="BG13" s="543"/>
      <c r="BH13" s="334"/>
      <c r="BI13" s="334"/>
      <c r="BJ13" s="394"/>
    </row>
    <row r="14" spans="2:62" s="86" customFormat="1" ht="12.75" thickBot="1" x14ac:dyDescent="0.3">
      <c r="B14" s="378"/>
      <c r="C14" s="363"/>
      <c r="D14" s="375"/>
      <c r="E14" s="375"/>
      <c r="F14" s="363"/>
      <c r="G14" s="363"/>
      <c r="H14" s="375"/>
      <c r="I14" s="381"/>
      <c r="J14" s="381"/>
      <c r="K14" s="124"/>
      <c r="L14" s="342"/>
      <c r="M14" s="366"/>
      <c r="N14" s="363"/>
      <c r="O14" s="363"/>
      <c r="P14" s="366"/>
      <c r="Q14" s="372"/>
      <c r="R14" s="375"/>
      <c r="S14" s="375"/>
      <c r="T14" s="125"/>
      <c r="U14" s="126">
        <f t="shared" si="1"/>
        <v>0</v>
      </c>
      <c r="V14" s="125"/>
      <c r="W14" s="126">
        <f t="shared" si="2"/>
        <v>0</v>
      </c>
      <c r="X14" s="125"/>
      <c r="Y14" s="126">
        <f t="shared" si="3"/>
        <v>0</v>
      </c>
      <c r="Z14" s="125"/>
      <c r="AA14" s="126">
        <f t="shared" si="4"/>
        <v>0</v>
      </c>
      <c r="AB14" s="125"/>
      <c r="AC14" s="126">
        <f t="shared" si="5"/>
        <v>0</v>
      </c>
      <c r="AD14" s="125"/>
      <c r="AE14" s="126">
        <f t="shared" si="6"/>
        <v>0</v>
      </c>
      <c r="AF14" s="125"/>
      <c r="AG14" s="126">
        <f t="shared" si="7"/>
        <v>0</v>
      </c>
      <c r="AH14" s="127">
        <f t="shared" si="0"/>
        <v>0</v>
      </c>
      <c r="AI14" s="127" t="str">
        <f t="shared" si="11"/>
        <v/>
      </c>
      <c r="AJ14" s="128"/>
      <c r="AK14" s="127" t="str">
        <f t="shared" si="8"/>
        <v/>
      </c>
      <c r="AL14" s="127" t="str">
        <f t="shared" si="9"/>
        <v/>
      </c>
      <c r="AM14" s="127" t="str">
        <f>IFERROR(VLOOKUP(AL14,[3]FORMULAS!$B$69:$D$77,3,FALSE),"")</f>
        <v/>
      </c>
      <c r="AN14" s="127" t="str">
        <f t="shared" si="10"/>
        <v/>
      </c>
      <c r="AO14" s="127" t="str">
        <f>IFERROR(VLOOKUP(AL14,[3]FORMULAS!$B$69:$C$77,2,FALSE),"")</f>
        <v/>
      </c>
      <c r="AP14" s="360"/>
      <c r="AQ14" s="360"/>
      <c r="AR14" s="357"/>
      <c r="AS14" s="357"/>
      <c r="AT14" s="360"/>
      <c r="AU14" s="360"/>
      <c r="AV14" s="360"/>
      <c r="AW14" s="363"/>
      <c r="AX14" s="363"/>
      <c r="AY14" s="366"/>
      <c r="AZ14" s="369"/>
      <c r="BA14" s="372"/>
      <c r="BB14" s="131"/>
      <c r="BC14" s="132"/>
      <c r="BD14" s="132"/>
      <c r="BE14" s="133"/>
      <c r="BF14" s="549"/>
      <c r="BG14" s="544"/>
      <c r="BH14" s="335"/>
      <c r="BI14" s="335"/>
      <c r="BJ14" s="430"/>
    </row>
    <row r="15" spans="2:62" s="86" customFormat="1" ht="36" x14ac:dyDescent="0.25">
      <c r="B15" s="376" t="s">
        <v>71</v>
      </c>
      <c r="C15" s="361">
        <v>2</v>
      </c>
      <c r="D15" s="373" t="s">
        <v>346</v>
      </c>
      <c r="E15" s="373" t="s">
        <v>347</v>
      </c>
      <c r="F15" s="361" t="s">
        <v>348</v>
      </c>
      <c r="G15" s="361" t="s">
        <v>93</v>
      </c>
      <c r="H15" s="373" t="s">
        <v>329</v>
      </c>
      <c r="I15" s="379"/>
      <c r="J15" s="379"/>
      <c r="K15" s="109" t="s">
        <v>349</v>
      </c>
      <c r="L15" s="352" t="s">
        <v>350</v>
      </c>
      <c r="M15" s="364" t="str">
        <f>IF(F15="gestion","impacto",IF(F15="corrupcion","impactocorrupcion",IF(F15="seguridad_de_la_informacion","impacto","")))</f>
        <v/>
      </c>
      <c r="N15" s="361" t="s">
        <v>135</v>
      </c>
      <c r="O15" s="361" t="s">
        <v>24</v>
      </c>
      <c r="P15" s="364" t="str">
        <f>N15&amp;O15</f>
        <v>Casi seguroMayor</v>
      </c>
      <c r="Q15" s="370" t="str">
        <f>IFERROR(VLOOKUP(P15,[3]FORMULAS!$B$37:$C$61,2,FALSE),"")</f>
        <v>Riesgo extremo</v>
      </c>
      <c r="R15" s="373" t="s">
        <v>351</v>
      </c>
      <c r="S15" s="373"/>
      <c r="T15" s="112" t="s">
        <v>286</v>
      </c>
      <c r="U15" s="113">
        <f>IF(T15="Asignado",15,0)</f>
        <v>15</v>
      </c>
      <c r="V15" s="112" t="s">
        <v>287</v>
      </c>
      <c r="W15" s="113">
        <f>IF(V15="Adecuado",15,0)</f>
        <v>15</v>
      </c>
      <c r="X15" s="112" t="s">
        <v>288</v>
      </c>
      <c r="Y15" s="113">
        <f>IF(X15="Oportuna",15,0)</f>
        <v>15</v>
      </c>
      <c r="Z15" s="112" t="s">
        <v>291</v>
      </c>
      <c r="AA15" s="113">
        <f>IF(Z15="Prevenir",15,IF(Z15="Detectar",10,0))</f>
        <v>15</v>
      </c>
      <c r="AB15" s="112" t="s">
        <v>290</v>
      </c>
      <c r="AC15" s="113">
        <f>IF(AB15="Confiable",15,0)</f>
        <v>15</v>
      </c>
      <c r="AD15" s="112" t="s">
        <v>292</v>
      </c>
      <c r="AE15" s="113">
        <f>IF(AD15="Se investigan y resuelven oportunamente",15,0)</f>
        <v>15</v>
      </c>
      <c r="AF15" s="112" t="s">
        <v>289</v>
      </c>
      <c r="AG15" s="113">
        <f>IF(AF15="Completa",10,IF(AF15="incompleta",5,0))</f>
        <v>10</v>
      </c>
      <c r="AH15" s="114">
        <f t="shared" si="0"/>
        <v>100</v>
      </c>
      <c r="AI15" s="114" t="str">
        <f>IF(AH15&gt;=96,"Fuerte",IF(AH15&gt;=86,"Moderado",IF(AH15&gt;=1,"Débil","")))</f>
        <v>Fuerte</v>
      </c>
      <c r="AJ15" s="115" t="s">
        <v>293</v>
      </c>
      <c r="AK15" s="114" t="str">
        <f>IF(AJ15="Siempre se ejecuta","Fuerte",IF(AJ15="Algunas veces","Moderado",IF(AJ15="no se ejecuta","Débil","")))</f>
        <v>Fuerte</v>
      </c>
      <c r="AL15" s="114" t="str">
        <f>AI15&amp;AK15</f>
        <v>FuerteFuerte</v>
      </c>
      <c r="AM15" s="114" t="str">
        <f>IFERROR(VLOOKUP(AL15,[3]FORMULAS!$B$69:$D$77,3,FALSE),"")</f>
        <v>Fuerte</v>
      </c>
      <c r="AN15" s="114">
        <f>IF(AM15="fuerte",100,IF(AM15="Moderado",50,IF(AM15="débil",0,"")))</f>
        <v>100</v>
      </c>
      <c r="AO15" s="114" t="str">
        <f>IFERROR(VLOOKUP(AL15,[3]FORMULAS!$B$69:$D$77,2,FALSE),"")</f>
        <v>No</v>
      </c>
      <c r="AP15" s="358">
        <f>IFERROR(AVERAGE(AN15:AN18),0)</f>
        <v>100</v>
      </c>
      <c r="AQ15" s="358" t="str">
        <f>IF(AP15&gt;=100,"Fuerte",IF(AP15&gt;=50,"Moderado",IF(AP15&gt;=1,"Débil","")))</f>
        <v>Fuerte</v>
      </c>
      <c r="AR15" s="355" t="s">
        <v>160</v>
      </c>
      <c r="AS15" s="355" t="s">
        <v>162</v>
      </c>
      <c r="AT15" s="358" t="str">
        <f>+AQ15&amp;AR15&amp;AS15</f>
        <v>FuerteDirectamenteIndirectamente</v>
      </c>
      <c r="AU15" s="358">
        <f>IFERROR(VLOOKUP(AT15,[3]FORMULAS!$B$94:$D$101,2,FALSE),0)</f>
        <v>2</v>
      </c>
      <c r="AV15" s="358">
        <f>IFERROR(VLOOKUP(AT15,[3]FORMULAS!$B$94:$D$101,3,FALSE),0)</f>
        <v>1</v>
      </c>
      <c r="AW15" s="361" t="s">
        <v>18</v>
      </c>
      <c r="AX15" s="361" t="s">
        <v>23</v>
      </c>
      <c r="AY15" s="364" t="str">
        <f>AW15&amp;AX15</f>
        <v>PosibleModerado</v>
      </c>
      <c r="AZ15" s="367" t="str">
        <f>IFERROR(VLOOKUP(AY15,[3]FORMULAS!$B$37:$C$61,2,FALSE),"")</f>
        <v>Riesgo alto</v>
      </c>
      <c r="BA15" s="370" t="s">
        <v>167</v>
      </c>
      <c r="BB15" s="134" t="s">
        <v>352</v>
      </c>
      <c r="BC15" s="119" t="s">
        <v>353</v>
      </c>
      <c r="BD15" s="119" t="s">
        <v>333</v>
      </c>
      <c r="BE15" s="120" t="s">
        <v>364</v>
      </c>
      <c r="BF15" s="549"/>
      <c r="BG15" s="542" t="s">
        <v>366</v>
      </c>
      <c r="BH15" s="333" t="s">
        <v>367</v>
      </c>
      <c r="BI15" s="333" t="s">
        <v>368</v>
      </c>
      <c r="BJ15" s="336" t="s">
        <v>369</v>
      </c>
    </row>
    <row r="16" spans="2:62" s="86" customFormat="1" ht="36" x14ac:dyDescent="0.25">
      <c r="B16" s="377"/>
      <c r="C16" s="362"/>
      <c r="D16" s="374"/>
      <c r="E16" s="374"/>
      <c r="F16" s="362"/>
      <c r="G16" s="362"/>
      <c r="H16" s="374"/>
      <c r="I16" s="380"/>
      <c r="J16" s="380"/>
      <c r="K16" s="121" t="s">
        <v>354</v>
      </c>
      <c r="L16" s="353"/>
      <c r="M16" s="365"/>
      <c r="N16" s="362"/>
      <c r="O16" s="362"/>
      <c r="P16" s="365"/>
      <c r="Q16" s="371"/>
      <c r="R16" s="374" t="s">
        <v>355</v>
      </c>
      <c r="S16" s="374"/>
      <c r="T16" s="96" t="s">
        <v>286</v>
      </c>
      <c r="U16" s="95">
        <f t="shared" ref="U16:U18" si="12">IF(T16="Asignado",15,0)</f>
        <v>15</v>
      </c>
      <c r="V16" s="96" t="s">
        <v>287</v>
      </c>
      <c r="W16" s="95">
        <f t="shared" ref="W16:W18" si="13">IF(V16="Adecuado",15,0)</f>
        <v>15</v>
      </c>
      <c r="X16" s="96" t="s">
        <v>288</v>
      </c>
      <c r="Y16" s="95">
        <f t="shared" ref="Y16:Y18" si="14">IF(X16="Oportuna",15,0)</f>
        <v>15</v>
      </c>
      <c r="Z16" s="96" t="s">
        <v>291</v>
      </c>
      <c r="AA16" s="95">
        <f t="shared" ref="AA16:AA18" si="15">IF(Z16="Prevenir",15,IF(Z16="Detectar",10,0))</f>
        <v>15</v>
      </c>
      <c r="AB16" s="96" t="s">
        <v>290</v>
      </c>
      <c r="AC16" s="95">
        <f t="shared" ref="AC16:AC18" si="16">IF(AB16="Confiable",15,0)</f>
        <v>15</v>
      </c>
      <c r="AD16" s="96" t="s">
        <v>292</v>
      </c>
      <c r="AE16" s="95">
        <f t="shared" ref="AE16:AE18" si="17">IF(AD16="Se investigan y resuelven oportunamente",15,0)</f>
        <v>15</v>
      </c>
      <c r="AF16" s="96" t="s">
        <v>289</v>
      </c>
      <c r="AG16" s="95">
        <f t="shared" ref="AG16:AG18" si="18">IF(AF16="Completa",10,IF(AF16="incompleta",5,0))</f>
        <v>10</v>
      </c>
      <c r="AH16" s="99">
        <f t="shared" si="0"/>
        <v>100</v>
      </c>
      <c r="AI16" s="99" t="str">
        <f>IF(AH16&gt;=96,"Fuerte",IF(AH16&gt;=86,"Moderado",IF(AH16&gt;=1,"Débil","")))</f>
        <v>Fuerte</v>
      </c>
      <c r="AJ16" s="98" t="s">
        <v>293</v>
      </c>
      <c r="AK16" s="99" t="str">
        <f t="shared" ref="AK16:AK18" si="19">IF(AJ16="Siempre se ejecuta","Fuerte",IF(AJ16="Algunas veces","Moderado",IF(AJ16="no se ejecuta","Débil","")))</f>
        <v>Fuerte</v>
      </c>
      <c r="AL16" s="99" t="str">
        <f t="shared" ref="AL16:AL18" si="20">AI16&amp;AK16</f>
        <v>FuerteFuerte</v>
      </c>
      <c r="AM16" s="99" t="str">
        <f>IFERROR(VLOOKUP(AL16,[3]FORMULAS!$B$69:$D$77,3,FALSE),"")</f>
        <v>Fuerte</v>
      </c>
      <c r="AN16" s="99">
        <f t="shared" ref="AN16:AN18" si="21">IF(AM16="fuerte",100,IF(AM16="Moderado",50,IF(AM16="débil",0,"")))</f>
        <v>100</v>
      </c>
      <c r="AO16" s="99" t="str">
        <f>IFERROR(VLOOKUP(AL16,[3]FORMULAS!$B$69:$C$77,2,FALSE),"")</f>
        <v>No</v>
      </c>
      <c r="AP16" s="359"/>
      <c r="AQ16" s="359"/>
      <c r="AR16" s="356"/>
      <c r="AS16" s="356"/>
      <c r="AT16" s="359"/>
      <c r="AU16" s="359"/>
      <c r="AV16" s="359"/>
      <c r="AW16" s="362"/>
      <c r="AX16" s="362"/>
      <c r="AY16" s="365"/>
      <c r="AZ16" s="368"/>
      <c r="BA16" s="371"/>
      <c r="BB16" s="135" t="s">
        <v>356</v>
      </c>
      <c r="BC16" s="84" t="s">
        <v>357</v>
      </c>
      <c r="BD16" s="84" t="s">
        <v>333</v>
      </c>
      <c r="BE16" s="123" t="s">
        <v>364</v>
      </c>
      <c r="BF16" s="549"/>
      <c r="BG16" s="543"/>
      <c r="BH16" s="334"/>
      <c r="BI16" s="334"/>
      <c r="BJ16" s="337"/>
    </row>
    <row r="17" spans="2:62" s="86" customFormat="1" ht="48" x14ac:dyDescent="0.25">
      <c r="B17" s="377"/>
      <c r="C17" s="362"/>
      <c r="D17" s="374"/>
      <c r="E17" s="374"/>
      <c r="F17" s="362"/>
      <c r="G17" s="362"/>
      <c r="H17" s="374"/>
      <c r="I17" s="380"/>
      <c r="J17" s="380"/>
      <c r="K17" s="121" t="s">
        <v>358</v>
      </c>
      <c r="L17" s="353"/>
      <c r="M17" s="365"/>
      <c r="N17" s="362"/>
      <c r="O17" s="362"/>
      <c r="P17" s="365"/>
      <c r="Q17" s="371"/>
      <c r="R17" s="374" t="s">
        <v>359</v>
      </c>
      <c r="S17" s="374"/>
      <c r="T17" s="96" t="s">
        <v>286</v>
      </c>
      <c r="U17" s="95">
        <f t="shared" si="12"/>
        <v>15</v>
      </c>
      <c r="V17" s="96" t="s">
        <v>287</v>
      </c>
      <c r="W17" s="95">
        <f t="shared" si="13"/>
        <v>15</v>
      </c>
      <c r="X17" s="96" t="s">
        <v>288</v>
      </c>
      <c r="Y17" s="95">
        <f t="shared" si="14"/>
        <v>15</v>
      </c>
      <c r="Z17" s="96" t="s">
        <v>291</v>
      </c>
      <c r="AA17" s="95">
        <f t="shared" si="15"/>
        <v>15</v>
      </c>
      <c r="AB17" s="96" t="s">
        <v>290</v>
      </c>
      <c r="AC17" s="95">
        <f t="shared" si="16"/>
        <v>15</v>
      </c>
      <c r="AD17" s="96" t="s">
        <v>292</v>
      </c>
      <c r="AE17" s="95">
        <f t="shared" si="17"/>
        <v>15</v>
      </c>
      <c r="AF17" s="96" t="s">
        <v>289</v>
      </c>
      <c r="AG17" s="95">
        <f t="shared" si="18"/>
        <v>10</v>
      </c>
      <c r="AH17" s="99">
        <f t="shared" si="0"/>
        <v>100</v>
      </c>
      <c r="AI17" s="99" t="str">
        <f t="shared" ref="AI17:AI18" si="22">IF(AH17&gt;=96,"Fuerte",IF(AH17&gt;=86,"Moderado",IF(AH17&gt;=1,"Débil","")))</f>
        <v>Fuerte</v>
      </c>
      <c r="AJ17" s="98" t="s">
        <v>293</v>
      </c>
      <c r="AK17" s="99" t="str">
        <f t="shared" si="19"/>
        <v>Fuerte</v>
      </c>
      <c r="AL17" s="99" t="str">
        <f t="shared" si="20"/>
        <v>FuerteFuerte</v>
      </c>
      <c r="AM17" s="99" t="str">
        <f>IFERROR(VLOOKUP(AL17,[3]FORMULAS!$B$69:$D$77,3,FALSE),"")</f>
        <v>Fuerte</v>
      </c>
      <c r="AN17" s="99">
        <f t="shared" si="21"/>
        <v>100</v>
      </c>
      <c r="AO17" s="99" t="str">
        <f>IFERROR(VLOOKUP(AL17,[3]FORMULAS!$B$69:$C$77,2,FALSE),"")</f>
        <v>No</v>
      </c>
      <c r="AP17" s="359"/>
      <c r="AQ17" s="359"/>
      <c r="AR17" s="356"/>
      <c r="AS17" s="356"/>
      <c r="AT17" s="359"/>
      <c r="AU17" s="359"/>
      <c r="AV17" s="359"/>
      <c r="AW17" s="362"/>
      <c r="AX17" s="362"/>
      <c r="AY17" s="365"/>
      <c r="AZ17" s="368"/>
      <c r="BA17" s="371"/>
      <c r="BB17" s="136" t="s">
        <v>360</v>
      </c>
      <c r="BC17" s="84" t="s">
        <v>361</v>
      </c>
      <c r="BD17" s="84" t="s">
        <v>333</v>
      </c>
      <c r="BE17" s="123" t="s">
        <v>364</v>
      </c>
      <c r="BF17" s="549"/>
      <c r="BG17" s="543"/>
      <c r="BH17" s="334"/>
      <c r="BI17" s="334"/>
      <c r="BJ17" s="337"/>
    </row>
    <row r="18" spans="2:62" s="86" customFormat="1" ht="48.75" thickBot="1" x14ac:dyDescent="0.3">
      <c r="B18" s="378"/>
      <c r="C18" s="363"/>
      <c r="D18" s="375"/>
      <c r="E18" s="375"/>
      <c r="F18" s="363"/>
      <c r="G18" s="363"/>
      <c r="H18" s="375"/>
      <c r="I18" s="381"/>
      <c r="J18" s="381"/>
      <c r="K18" s="137"/>
      <c r="L18" s="354"/>
      <c r="M18" s="366"/>
      <c r="N18" s="363"/>
      <c r="O18" s="363"/>
      <c r="P18" s="366"/>
      <c r="Q18" s="372"/>
      <c r="R18" s="375"/>
      <c r="S18" s="375"/>
      <c r="T18" s="125"/>
      <c r="U18" s="126">
        <f t="shared" si="12"/>
        <v>0</v>
      </c>
      <c r="V18" s="125"/>
      <c r="W18" s="126">
        <f t="shared" si="13"/>
        <v>0</v>
      </c>
      <c r="X18" s="125"/>
      <c r="Y18" s="126">
        <f t="shared" si="14"/>
        <v>0</v>
      </c>
      <c r="Z18" s="125"/>
      <c r="AA18" s="126">
        <f t="shared" si="15"/>
        <v>0</v>
      </c>
      <c r="AB18" s="125"/>
      <c r="AC18" s="126">
        <f t="shared" si="16"/>
        <v>0</v>
      </c>
      <c r="AD18" s="125"/>
      <c r="AE18" s="126">
        <f t="shared" si="17"/>
        <v>0</v>
      </c>
      <c r="AF18" s="125"/>
      <c r="AG18" s="126">
        <f t="shared" si="18"/>
        <v>0</v>
      </c>
      <c r="AH18" s="127">
        <f t="shared" si="0"/>
        <v>0</v>
      </c>
      <c r="AI18" s="127" t="str">
        <f t="shared" si="22"/>
        <v/>
      </c>
      <c r="AJ18" s="128"/>
      <c r="AK18" s="127" t="str">
        <f t="shared" si="19"/>
        <v/>
      </c>
      <c r="AL18" s="127" t="str">
        <f t="shared" si="20"/>
        <v/>
      </c>
      <c r="AM18" s="127" t="str">
        <f>IFERROR(VLOOKUP(AL18,[3]FORMULAS!$B$69:$D$77,3,FALSE),"")</f>
        <v/>
      </c>
      <c r="AN18" s="127" t="str">
        <f t="shared" si="21"/>
        <v/>
      </c>
      <c r="AO18" s="127" t="str">
        <f>IFERROR(VLOOKUP(AL18,[3]FORMULAS!$B$69:$C$77,2,FALSE),"")</f>
        <v/>
      </c>
      <c r="AP18" s="360"/>
      <c r="AQ18" s="360"/>
      <c r="AR18" s="357"/>
      <c r="AS18" s="357"/>
      <c r="AT18" s="360"/>
      <c r="AU18" s="360"/>
      <c r="AV18" s="360"/>
      <c r="AW18" s="363"/>
      <c r="AX18" s="363"/>
      <c r="AY18" s="366"/>
      <c r="AZ18" s="369"/>
      <c r="BA18" s="372"/>
      <c r="BB18" s="138" t="s">
        <v>362</v>
      </c>
      <c r="BC18" s="139" t="s">
        <v>363</v>
      </c>
      <c r="BD18" s="139" t="s">
        <v>333</v>
      </c>
      <c r="BE18" s="133" t="s">
        <v>365</v>
      </c>
      <c r="BF18" s="549"/>
      <c r="BG18" s="543"/>
      <c r="BH18" s="334"/>
      <c r="BI18" s="334"/>
      <c r="BJ18" s="337"/>
    </row>
    <row r="19" spans="2:62" s="86" customFormat="1" ht="36" x14ac:dyDescent="0.25">
      <c r="B19" s="376" t="s">
        <v>71</v>
      </c>
      <c r="C19" s="361">
        <v>3</v>
      </c>
      <c r="D19" s="373" t="s">
        <v>370</v>
      </c>
      <c r="E19" s="373" t="s">
        <v>371</v>
      </c>
      <c r="F19" s="361" t="s">
        <v>91</v>
      </c>
      <c r="G19" s="361" t="s">
        <v>101</v>
      </c>
      <c r="H19" s="373" t="s">
        <v>372</v>
      </c>
      <c r="I19" s="516" t="s">
        <v>129</v>
      </c>
      <c r="J19" s="516" t="s">
        <v>116</v>
      </c>
      <c r="K19" s="109" t="s">
        <v>373</v>
      </c>
      <c r="L19" s="352" t="s">
        <v>374</v>
      </c>
      <c r="M19" s="364" t="str">
        <f>IF(F19="gestion","impacto",IF(F19="corrupcion","impactocorrupcion",IF(F19="seguridad_de_la_informacion","impacto","")))</f>
        <v>impacto</v>
      </c>
      <c r="N19" s="361" t="s">
        <v>18</v>
      </c>
      <c r="O19" s="361" t="s">
        <v>23</v>
      </c>
      <c r="P19" s="364" t="str">
        <f>N19&amp;O19</f>
        <v>PosibleModerado</v>
      </c>
      <c r="Q19" s="370" t="str">
        <f>IFERROR(VLOOKUP(P19,[3]FORMULAS!$B$37:$C$61,2,FALSE),"")</f>
        <v>Riesgo alto</v>
      </c>
      <c r="R19" s="373" t="s">
        <v>375</v>
      </c>
      <c r="S19" s="373"/>
      <c r="T19" s="112" t="s">
        <v>286</v>
      </c>
      <c r="U19" s="113">
        <f>IF(T19="Asignado",15,0)</f>
        <v>15</v>
      </c>
      <c r="V19" s="112" t="s">
        <v>287</v>
      </c>
      <c r="W19" s="113">
        <f>IF(V19="Adecuado",15,0)</f>
        <v>15</v>
      </c>
      <c r="X19" s="112" t="s">
        <v>288</v>
      </c>
      <c r="Y19" s="113">
        <f>IF(X19="Oportuna",15,0)</f>
        <v>15</v>
      </c>
      <c r="Z19" s="112" t="s">
        <v>291</v>
      </c>
      <c r="AA19" s="113">
        <f>IF(Z19="Prevenir",15,IF(Z19="Detectar",10,0))</f>
        <v>15</v>
      </c>
      <c r="AB19" s="112" t="s">
        <v>290</v>
      </c>
      <c r="AC19" s="113">
        <f>IF(AB19="Confiable",15,0)</f>
        <v>15</v>
      </c>
      <c r="AD19" s="112" t="s">
        <v>292</v>
      </c>
      <c r="AE19" s="113">
        <f>IF(AD19="Se investigan y resuelven oportunamente",15,0)</f>
        <v>15</v>
      </c>
      <c r="AF19" s="112" t="s">
        <v>376</v>
      </c>
      <c r="AG19" s="113">
        <f>IF(AF19="Completa",10,IF(AF19="incompleta",5,0))</f>
        <v>5</v>
      </c>
      <c r="AH19" s="114">
        <f t="shared" si="0"/>
        <v>95</v>
      </c>
      <c r="AI19" s="114" t="str">
        <f>IF(AH19&gt;=96,"Fuerte",IF(AH19&gt;=86,"Moderado",IF(AH19&gt;=1,"Débil","")))</f>
        <v>Moderado</v>
      </c>
      <c r="AJ19" s="115" t="s">
        <v>342</v>
      </c>
      <c r="AK19" s="114" t="str">
        <f>IF(AJ19="Siempre se ejecuta","Fuerte",IF(AJ19="Algunas veces","Moderado",IF(AJ19="no se ejecuta","Débil","")))</f>
        <v>Moderado</v>
      </c>
      <c r="AL19" s="114" t="str">
        <f>AI19&amp;AK19</f>
        <v>ModeradoModerado</v>
      </c>
      <c r="AM19" s="114" t="str">
        <f>IFERROR(VLOOKUP(AL19,[3]FORMULAS!$B$69:$D$77,3,FALSE),"")</f>
        <v>Moderado</v>
      </c>
      <c r="AN19" s="114">
        <f>IF(AM19="fuerte",100,IF(AM19="Moderado",50,IF(AM19="débil",0,"")))</f>
        <v>50</v>
      </c>
      <c r="AO19" s="114" t="str">
        <f>IFERROR(VLOOKUP(AL19,[3]FORMULAS!$B$69:$D$77,2,FALSE),"")</f>
        <v>Sí</v>
      </c>
      <c r="AP19" s="358">
        <f>IFERROR(AVERAGE(AN19:AN22),0)</f>
        <v>50</v>
      </c>
      <c r="AQ19" s="358" t="str">
        <f>IF(AP19&gt;=100,"Fuerte",IF(AP19&gt;=50,"Moderado",IF(AP19&gt;=1,"Débil","")))</f>
        <v>Moderado</v>
      </c>
      <c r="AR19" s="355" t="s">
        <v>160</v>
      </c>
      <c r="AS19" s="355" t="s">
        <v>162</v>
      </c>
      <c r="AT19" s="358" t="str">
        <f>+AQ19&amp;AR19&amp;AS19</f>
        <v>ModeradoDirectamenteIndirectamente</v>
      </c>
      <c r="AU19" s="358">
        <f>IFERROR(VLOOKUP(AT19,[3]FORMULAS!$B$94:$D$101,2,FALSE),0)</f>
        <v>1</v>
      </c>
      <c r="AV19" s="358">
        <f>IFERROR(VLOOKUP(AT19,[3]FORMULAS!$B$94:$D$101,3,FALSE),0)</f>
        <v>0</v>
      </c>
      <c r="AW19" s="361" t="s">
        <v>17</v>
      </c>
      <c r="AX19" s="361" t="s">
        <v>23</v>
      </c>
      <c r="AY19" s="364" t="str">
        <f>AW19&amp;AX19</f>
        <v>ImprobableModerado</v>
      </c>
      <c r="AZ19" s="367" t="str">
        <f>IFERROR(VLOOKUP(AY19,[3]FORMULAS!$B$37:$C$61,2,FALSE),"")</f>
        <v>Riesgo moderado</v>
      </c>
      <c r="BA19" s="370" t="s">
        <v>167</v>
      </c>
      <c r="BB19" s="140" t="s">
        <v>377</v>
      </c>
      <c r="BC19" s="119" t="s">
        <v>378</v>
      </c>
      <c r="BD19" s="119" t="s">
        <v>333</v>
      </c>
      <c r="BE19" s="120" t="s">
        <v>364</v>
      </c>
      <c r="BF19" s="549"/>
      <c r="BG19" s="545" t="s">
        <v>382</v>
      </c>
      <c r="BH19" s="388" t="s">
        <v>378</v>
      </c>
      <c r="BI19" s="388" t="s">
        <v>368</v>
      </c>
      <c r="BJ19" s="390" t="s">
        <v>369</v>
      </c>
    </row>
    <row r="20" spans="2:62" s="86" customFormat="1" ht="48" x14ac:dyDescent="0.25">
      <c r="B20" s="377"/>
      <c r="C20" s="362"/>
      <c r="D20" s="374"/>
      <c r="E20" s="374"/>
      <c r="F20" s="362"/>
      <c r="G20" s="362"/>
      <c r="H20" s="374"/>
      <c r="I20" s="517"/>
      <c r="J20" s="517"/>
      <c r="K20" s="121" t="s">
        <v>379</v>
      </c>
      <c r="L20" s="353"/>
      <c r="M20" s="365"/>
      <c r="N20" s="362"/>
      <c r="O20" s="362"/>
      <c r="P20" s="365"/>
      <c r="Q20" s="371"/>
      <c r="R20" s="374" t="s">
        <v>380</v>
      </c>
      <c r="S20" s="374"/>
      <c r="T20" s="96" t="s">
        <v>286</v>
      </c>
      <c r="U20" s="95">
        <f t="shared" ref="U20:U22" si="23">IF(T20="Asignado",15,0)</f>
        <v>15</v>
      </c>
      <c r="V20" s="96" t="s">
        <v>287</v>
      </c>
      <c r="W20" s="95">
        <f t="shared" ref="W20:W22" si="24">IF(V20="Adecuado",15,0)</f>
        <v>15</v>
      </c>
      <c r="X20" s="96" t="s">
        <v>288</v>
      </c>
      <c r="Y20" s="95">
        <f t="shared" ref="Y20:Y22" si="25">IF(X20="Oportuna",15,0)</f>
        <v>15</v>
      </c>
      <c r="Z20" s="96" t="s">
        <v>291</v>
      </c>
      <c r="AA20" s="95">
        <f t="shared" ref="AA20:AA22" si="26">IF(Z20="Prevenir",15,IF(Z20="Detectar",10,0))</f>
        <v>15</v>
      </c>
      <c r="AB20" s="96" t="s">
        <v>290</v>
      </c>
      <c r="AC20" s="95">
        <f t="shared" ref="AC20:AC22" si="27">IF(AB20="Confiable",15,0)</f>
        <v>15</v>
      </c>
      <c r="AD20" s="96" t="s">
        <v>292</v>
      </c>
      <c r="AE20" s="95">
        <f t="shared" ref="AE20:AE22" si="28">IF(AD20="Se investigan y resuelven oportunamente",15,0)</f>
        <v>15</v>
      </c>
      <c r="AF20" s="96" t="s">
        <v>376</v>
      </c>
      <c r="AG20" s="95">
        <f t="shared" ref="AG20:AG22" si="29">IF(AF20="Completa",10,IF(AF20="incompleta",5,0))</f>
        <v>5</v>
      </c>
      <c r="AH20" s="99">
        <f t="shared" si="0"/>
        <v>95</v>
      </c>
      <c r="AI20" s="99" t="str">
        <f>IF(AH20&gt;=96,"Fuerte",IF(AH20&gt;=86,"Moderado",IF(AH20&gt;=1,"Débil","")))</f>
        <v>Moderado</v>
      </c>
      <c r="AJ20" s="98" t="s">
        <v>342</v>
      </c>
      <c r="AK20" s="99" t="str">
        <f t="shared" ref="AK20:AK22" si="30">IF(AJ20="Siempre se ejecuta","Fuerte",IF(AJ20="Algunas veces","Moderado",IF(AJ20="no se ejecuta","Débil","")))</f>
        <v>Moderado</v>
      </c>
      <c r="AL20" s="99" t="str">
        <f t="shared" ref="AL20:AL22" si="31">AI20&amp;AK20</f>
        <v>ModeradoModerado</v>
      </c>
      <c r="AM20" s="99" t="str">
        <f>IFERROR(VLOOKUP(AL20,[3]FORMULAS!$B$69:$D$77,3,FALSE),"")</f>
        <v>Moderado</v>
      </c>
      <c r="AN20" s="99">
        <f t="shared" ref="AN20:AN22" si="32">IF(AM20="fuerte",100,IF(AM20="Moderado",50,IF(AM20="débil",0,"")))</f>
        <v>50</v>
      </c>
      <c r="AO20" s="99" t="str">
        <f>IFERROR(VLOOKUP(AL20,[3]FORMULAS!$B$69:$C$77,2,FALSE),"")</f>
        <v>Sí</v>
      </c>
      <c r="AP20" s="359"/>
      <c r="AQ20" s="359"/>
      <c r="AR20" s="356"/>
      <c r="AS20" s="356"/>
      <c r="AT20" s="359"/>
      <c r="AU20" s="359"/>
      <c r="AV20" s="359"/>
      <c r="AW20" s="362"/>
      <c r="AX20" s="362"/>
      <c r="AY20" s="365"/>
      <c r="AZ20" s="368"/>
      <c r="BA20" s="371"/>
      <c r="BB20" s="141" t="s">
        <v>381</v>
      </c>
      <c r="BC20" s="84" t="s">
        <v>378</v>
      </c>
      <c r="BD20" s="84" t="s">
        <v>333</v>
      </c>
      <c r="BE20" s="123" t="s">
        <v>364</v>
      </c>
      <c r="BF20" s="549"/>
      <c r="BG20" s="546"/>
      <c r="BH20" s="389"/>
      <c r="BI20" s="389"/>
      <c r="BJ20" s="391"/>
    </row>
    <row r="21" spans="2:62" s="86" customFormat="1" ht="12" x14ac:dyDescent="0.25">
      <c r="B21" s="377"/>
      <c r="C21" s="362"/>
      <c r="D21" s="374"/>
      <c r="E21" s="374"/>
      <c r="F21" s="362"/>
      <c r="G21" s="362"/>
      <c r="H21" s="374"/>
      <c r="I21" s="517"/>
      <c r="J21" s="517"/>
      <c r="K21" s="80"/>
      <c r="L21" s="353"/>
      <c r="M21" s="365"/>
      <c r="N21" s="362"/>
      <c r="O21" s="362"/>
      <c r="P21" s="365"/>
      <c r="Q21" s="371"/>
      <c r="R21" s="374"/>
      <c r="S21" s="374"/>
      <c r="T21" s="96"/>
      <c r="U21" s="95">
        <f t="shared" si="23"/>
        <v>0</v>
      </c>
      <c r="V21" s="96"/>
      <c r="W21" s="95">
        <f t="shared" si="24"/>
        <v>0</v>
      </c>
      <c r="X21" s="96"/>
      <c r="Y21" s="95">
        <f t="shared" si="25"/>
        <v>0</v>
      </c>
      <c r="Z21" s="96"/>
      <c r="AA21" s="95">
        <f t="shared" si="26"/>
        <v>0</v>
      </c>
      <c r="AB21" s="96"/>
      <c r="AC21" s="95">
        <f t="shared" si="27"/>
        <v>0</v>
      </c>
      <c r="AD21" s="96"/>
      <c r="AE21" s="95">
        <f t="shared" si="28"/>
        <v>0</v>
      </c>
      <c r="AF21" s="96"/>
      <c r="AG21" s="95">
        <f t="shared" si="29"/>
        <v>0</v>
      </c>
      <c r="AH21" s="99">
        <f t="shared" si="0"/>
        <v>0</v>
      </c>
      <c r="AI21" s="99" t="str">
        <f t="shared" ref="AI21:AI22" si="33">IF(AH21&gt;=96,"Fuerte",IF(AH21&gt;=86,"Moderado",IF(AH21&gt;=1,"Débil","")))</f>
        <v/>
      </c>
      <c r="AJ21" s="98"/>
      <c r="AK21" s="99" t="str">
        <f t="shared" si="30"/>
        <v/>
      </c>
      <c r="AL21" s="99" t="str">
        <f t="shared" si="31"/>
        <v/>
      </c>
      <c r="AM21" s="99" t="str">
        <f>IFERROR(VLOOKUP(AL21,[3]FORMULAS!$B$69:$D$77,3,FALSE),"")</f>
        <v/>
      </c>
      <c r="AN21" s="99" t="str">
        <f t="shared" si="32"/>
        <v/>
      </c>
      <c r="AO21" s="99" t="str">
        <f>IFERROR(VLOOKUP(AL21,[3]FORMULAS!$B$69:$C$77,2,FALSE),"")</f>
        <v/>
      </c>
      <c r="AP21" s="359"/>
      <c r="AQ21" s="359"/>
      <c r="AR21" s="356"/>
      <c r="AS21" s="356"/>
      <c r="AT21" s="359"/>
      <c r="AU21" s="359"/>
      <c r="AV21" s="359"/>
      <c r="AW21" s="362"/>
      <c r="AX21" s="362"/>
      <c r="AY21" s="365"/>
      <c r="AZ21" s="368"/>
      <c r="BA21" s="371"/>
      <c r="BB21" s="81"/>
      <c r="BC21" s="82"/>
      <c r="BD21" s="82"/>
      <c r="BE21" s="123"/>
      <c r="BF21" s="549"/>
      <c r="BG21" s="546"/>
      <c r="BH21" s="389"/>
      <c r="BI21" s="389"/>
      <c r="BJ21" s="391"/>
    </row>
    <row r="22" spans="2:62" s="86" customFormat="1" ht="12.75" thickBot="1" x14ac:dyDescent="0.3">
      <c r="B22" s="519"/>
      <c r="C22" s="474"/>
      <c r="D22" s="382"/>
      <c r="E22" s="382"/>
      <c r="F22" s="474"/>
      <c r="G22" s="474"/>
      <c r="H22" s="382"/>
      <c r="I22" s="518"/>
      <c r="J22" s="518"/>
      <c r="K22" s="142"/>
      <c r="L22" s="353"/>
      <c r="M22" s="475"/>
      <c r="N22" s="474"/>
      <c r="O22" s="474"/>
      <c r="P22" s="475"/>
      <c r="Q22" s="477"/>
      <c r="R22" s="382"/>
      <c r="S22" s="382"/>
      <c r="T22" s="143"/>
      <c r="U22" s="144">
        <f t="shared" si="23"/>
        <v>0</v>
      </c>
      <c r="V22" s="143"/>
      <c r="W22" s="144">
        <f t="shared" si="24"/>
        <v>0</v>
      </c>
      <c r="X22" s="143"/>
      <c r="Y22" s="144">
        <f t="shared" si="25"/>
        <v>0</v>
      </c>
      <c r="Z22" s="143"/>
      <c r="AA22" s="144">
        <f t="shared" si="26"/>
        <v>0</v>
      </c>
      <c r="AB22" s="143"/>
      <c r="AC22" s="144">
        <f t="shared" si="27"/>
        <v>0</v>
      </c>
      <c r="AD22" s="143"/>
      <c r="AE22" s="144">
        <f t="shared" si="28"/>
        <v>0</v>
      </c>
      <c r="AF22" s="143"/>
      <c r="AG22" s="144">
        <f t="shared" si="29"/>
        <v>0</v>
      </c>
      <c r="AH22" s="145">
        <f t="shared" si="0"/>
        <v>0</v>
      </c>
      <c r="AI22" s="145" t="str">
        <f t="shared" si="33"/>
        <v/>
      </c>
      <c r="AJ22" s="146"/>
      <c r="AK22" s="145" t="str">
        <f t="shared" si="30"/>
        <v/>
      </c>
      <c r="AL22" s="145" t="str">
        <f t="shared" si="31"/>
        <v/>
      </c>
      <c r="AM22" s="145" t="str">
        <f>IFERROR(VLOOKUP(AL22,[3]FORMULAS!$B$69:$D$77,3,FALSE),"")</f>
        <v/>
      </c>
      <c r="AN22" s="145" t="str">
        <f t="shared" si="32"/>
        <v/>
      </c>
      <c r="AO22" s="145" t="str">
        <f>IFERROR(VLOOKUP(AL22,[3]FORMULAS!$B$69:$C$77,2,FALSE),"")</f>
        <v/>
      </c>
      <c r="AP22" s="473"/>
      <c r="AQ22" s="473"/>
      <c r="AR22" s="472"/>
      <c r="AS22" s="472"/>
      <c r="AT22" s="473"/>
      <c r="AU22" s="473"/>
      <c r="AV22" s="473"/>
      <c r="AW22" s="474"/>
      <c r="AX22" s="474"/>
      <c r="AY22" s="475"/>
      <c r="AZ22" s="476"/>
      <c r="BA22" s="477"/>
      <c r="BB22" s="149"/>
      <c r="BC22" s="150"/>
      <c r="BD22" s="150"/>
      <c r="BE22" s="151"/>
      <c r="BF22" s="549"/>
      <c r="BG22" s="547"/>
      <c r="BH22" s="396"/>
      <c r="BI22" s="396"/>
      <c r="BJ22" s="397"/>
    </row>
    <row r="23" spans="2:62" s="86" customFormat="1" ht="72" x14ac:dyDescent="0.25">
      <c r="B23" s="376" t="s">
        <v>71</v>
      </c>
      <c r="C23" s="361">
        <v>4</v>
      </c>
      <c r="D23" s="373" t="s">
        <v>383</v>
      </c>
      <c r="E23" s="373" t="s">
        <v>384</v>
      </c>
      <c r="F23" s="361" t="s">
        <v>89</v>
      </c>
      <c r="G23" s="361" t="s">
        <v>92</v>
      </c>
      <c r="H23" s="373" t="s">
        <v>329</v>
      </c>
      <c r="I23" s="379"/>
      <c r="J23" s="379"/>
      <c r="K23" s="109" t="s">
        <v>385</v>
      </c>
      <c r="L23" s="352" t="s">
        <v>386</v>
      </c>
      <c r="M23" s="364" t="str">
        <f>IF(F23="gestion","impacto",IF(F23="corrupcion","impactocorrupcion",IF(F23="seguridad_de_la_informacion","impacto","")))</f>
        <v>impacto</v>
      </c>
      <c r="N23" s="361" t="s">
        <v>18</v>
      </c>
      <c r="O23" s="361" t="s">
        <v>22</v>
      </c>
      <c r="P23" s="364" t="str">
        <f>N23&amp;O23</f>
        <v>PosibleMenor</v>
      </c>
      <c r="Q23" s="370" t="str">
        <f>IFERROR(VLOOKUP(P23,[3]FORMULAS!$B$37:$C$61,2,FALSE),"")</f>
        <v>Riesgo moderado</v>
      </c>
      <c r="R23" s="373" t="s">
        <v>387</v>
      </c>
      <c r="S23" s="373"/>
      <c r="T23" s="112" t="s">
        <v>286</v>
      </c>
      <c r="U23" s="113">
        <f>IF(T23="Asignado",15,0)</f>
        <v>15</v>
      </c>
      <c r="V23" s="112" t="s">
        <v>287</v>
      </c>
      <c r="W23" s="113">
        <f>IF(V23="Adecuado",15,0)</f>
        <v>15</v>
      </c>
      <c r="X23" s="112" t="s">
        <v>288</v>
      </c>
      <c r="Y23" s="113">
        <f>IF(X23="Oportuna",15,0)</f>
        <v>15</v>
      </c>
      <c r="Z23" s="112" t="s">
        <v>341</v>
      </c>
      <c r="AA23" s="113">
        <f>IF(Z23="Prevenir",15,IF(Z23="Detectar",10,0))</f>
        <v>10</v>
      </c>
      <c r="AB23" s="112" t="s">
        <v>290</v>
      </c>
      <c r="AC23" s="113">
        <f>IF(AB23="Confiable",15,0)</f>
        <v>15</v>
      </c>
      <c r="AD23" s="112" t="s">
        <v>292</v>
      </c>
      <c r="AE23" s="113">
        <f>IF(AD23="Se investigan y resuelven oportunamente",15,0)</f>
        <v>15</v>
      </c>
      <c r="AF23" s="112" t="s">
        <v>289</v>
      </c>
      <c r="AG23" s="113">
        <f>IF(AF23="Completa",10,IF(AF23="incompleta",5,0))</f>
        <v>10</v>
      </c>
      <c r="AH23" s="114">
        <f t="shared" si="0"/>
        <v>95</v>
      </c>
      <c r="AI23" s="114" t="str">
        <f>IF(AH23&gt;=96,"Fuerte",IF(AH23&gt;=86,"Moderado",IF(AH23&gt;=1,"Débil","")))</f>
        <v>Moderado</v>
      </c>
      <c r="AJ23" s="115" t="s">
        <v>342</v>
      </c>
      <c r="AK23" s="114" t="str">
        <f>IF(AJ23="Siempre se ejecuta","Fuerte",IF(AJ23="Algunas veces","Moderado",IF(AJ23="no se ejecuta","Débil","")))</f>
        <v>Moderado</v>
      </c>
      <c r="AL23" s="114" t="str">
        <f>AI23&amp;AK23</f>
        <v>ModeradoModerado</v>
      </c>
      <c r="AM23" s="114" t="str">
        <f>IFERROR(VLOOKUP(AL23,[3]FORMULAS!$B$69:$D$77,3,FALSE),"")</f>
        <v>Moderado</v>
      </c>
      <c r="AN23" s="114">
        <f>IF(AM23="fuerte",100,IF(AM23="Moderado",50,IF(AM23="débil",0,"")))</f>
        <v>50</v>
      </c>
      <c r="AO23" s="114" t="str">
        <f>IFERROR(VLOOKUP(AL23,[3]FORMULAS!$B$69:$D$77,2,FALSE),"")</f>
        <v>Sí</v>
      </c>
      <c r="AP23" s="358">
        <f>IFERROR(AVERAGE(AN23:AN26),0)</f>
        <v>50</v>
      </c>
      <c r="AQ23" s="358" t="str">
        <f>IF(AP23&gt;=100,"Fuerte",IF(AP23&gt;=50,"Moderado",IF(AP23&gt;=1,"Débil","")))</f>
        <v>Moderado</v>
      </c>
      <c r="AR23" s="355" t="s">
        <v>160</v>
      </c>
      <c r="AS23" s="355" t="s">
        <v>162</v>
      </c>
      <c r="AT23" s="358" t="str">
        <f>+AQ23&amp;AR23&amp;AS23</f>
        <v>ModeradoDirectamenteIndirectamente</v>
      </c>
      <c r="AU23" s="358">
        <f>IFERROR(VLOOKUP(AT23,[3]FORMULAS!$B$94:$D$101,2,FALSE),0)</f>
        <v>1</v>
      </c>
      <c r="AV23" s="358">
        <f>IFERROR(VLOOKUP(AT23,[3]FORMULAS!$B$94:$D$101,3,FALSE),0)</f>
        <v>0</v>
      </c>
      <c r="AW23" s="361" t="s">
        <v>17</v>
      </c>
      <c r="AX23" s="361" t="s">
        <v>22</v>
      </c>
      <c r="AY23" s="364" t="str">
        <f>AW23&amp;AX23</f>
        <v>ImprobableMenor</v>
      </c>
      <c r="AZ23" s="367" t="str">
        <f>IFERROR(VLOOKUP(AY23,[3]FORMULAS!$B$37:$C$61,2,FALSE),"")</f>
        <v>Riesgo bajo</v>
      </c>
      <c r="BA23" s="370" t="s">
        <v>166</v>
      </c>
      <c r="BB23" s="153" t="s">
        <v>388</v>
      </c>
      <c r="BC23" s="119" t="s">
        <v>389</v>
      </c>
      <c r="BD23" s="119" t="s">
        <v>333</v>
      </c>
      <c r="BE23" s="120" t="s">
        <v>390</v>
      </c>
      <c r="BF23" s="549"/>
      <c r="BG23" s="542" t="s">
        <v>400</v>
      </c>
      <c r="BH23" s="333" t="s">
        <v>401</v>
      </c>
      <c r="BI23" s="333" t="s">
        <v>333</v>
      </c>
      <c r="BJ23" s="336" t="s">
        <v>395</v>
      </c>
    </row>
    <row r="24" spans="2:62" s="86" customFormat="1" ht="60" x14ac:dyDescent="0.25">
      <c r="B24" s="377"/>
      <c r="C24" s="362"/>
      <c r="D24" s="374"/>
      <c r="E24" s="374"/>
      <c r="F24" s="362"/>
      <c r="G24" s="362"/>
      <c r="H24" s="374"/>
      <c r="I24" s="380"/>
      <c r="J24" s="380"/>
      <c r="K24" s="121" t="s">
        <v>391</v>
      </c>
      <c r="L24" s="353"/>
      <c r="M24" s="365"/>
      <c r="N24" s="362"/>
      <c r="O24" s="362"/>
      <c r="P24" s="365"/>
      <c r="Q24" s="371"/>
      <c r="R24" s="374" t="s">
        <v>392</v>
      </c>
      <c r="S24" s="374"/>
      <c r="T24" s="96" t="s">
        <v>286</v>
      </c>
      <c r="U24" s="95">
        <f t="shared" ref="U24:U26" si="34">IF(T24="Asignado",15,0)</f>
        <v>15</v>
      </c>
      <c r="V24" s="96" t="s">
        <v>287</v>
      </c>
      <c r="W24" s="95">
        <f t="shared" ref="W24:W26" si="35">IF(V24="Adecuado",15,0)</f>
        <v>15</v>
      </c>
      <c r="X24" s="96" t="s">
        <v>288</v>
      </c>
      <c r="Y24" s="95">
        <f t="shared" ref="Y24:Y26" si="36">IF(X24="Oportuna",15,0)</f>
        <v>15</v>
      </c>
      <c r="Z24" s="96" t="s">
        <v>341</v>
      </c>
      <c r="AA24" s="95">
        <f t="shared" ref="AA24:AA26" si="37">IF(Z24="Prevenir",15,IF(Z24="Detectar",10,0))</f>
        <v>10</v>
      </c>
      <c r="AB24" s="96" t="s">
        <v>290</v>
      </c>
      <c r="AC24" s="95">
        <f t="shared" ref="AC24:AC26" si="38">IF(AB24="Confiable",15,0)</f>
        <v>15</v>
      </c>
      <c r="AD24" s="96" t="s">
        <v>292</v>
      </c>
      <c r="AE24" s="95">
        <f t="shared" ref="AE24:AE26" si="39">IF(AD24="Se investigan y resuelven oportunamente",15,0)</f>
        <v>15</v>
      </c>
      <c r="AF24" s="96" t="s">
        <v>289</v>
      </c>
      <c r="AG24" s="95">
        <f t="shared" ref="AG24:AG26" si="40">IF(AF24="Completa",10,IF(AF24="incompleta",5,0))</f>
        <v>10</v>
      </c>
      <c r="AH24" s="99">
        <f t="shared" si="0"/>
        <v>95</v>
      </c>
      <c r="AI24" s="99" t="str">
        <f>IF(AH24&gt;=96,"Fuerte",IF(AH24&gt;=86,"Moderado",IF(AH24&gt;=1,"Débil","")))</f>
        <v>Moderado</v>
      </c>
      <c r="AJ24" s="98" t="s">
        <v>342</v>
      </c>
      <c r="AK24" s="99" t="str">
        <f t="shared" ref="AK24:AK26" si="41">IF(AJ24="Siempre se ejecuta","Fuerte",IF(AJ24="Algunas veces","Moderado",IF(AJ24="no se ejecuta","Débil","")))</f>
        <v>Moderado</v>
      </c>
      <c r="AL24" s="99" t="str">
        <f t="shared" ref="AL24:AL26" si="42">AI24&amp;AK24</f>
        <v>ModeradoModerado</v>
      </c>
      <c r="AM24" s="99" t="str">
        <f>IFERROR(VLOOKUP(AL24,[3]FORMULAS!$B$69:$D$77,3,FALSE),"")</f>
        <v>Moderado</v>
      </c>
      <c r="AN24" s="99">
        <f t="shared" ref="AN24:AN26" si="43">IF(AM24="fuerte",100,IF(AM24="Moderado",50,IF(AM24="débil",0,"")))</f>
        <v>50</v>
      </c>
      <c r="AO24" s="99" t="str">
        <f>IFERROR(VLOOKUP(AL24,[3]FORMULAS!$B$69:$C$77,2,FALSE),"")</f>
        <v>Sí</v>
      </c>
      <c r="AP24" s="359"/>
      <c r="AQ24" s="359"/>
      <c r="AR24" s="356"/>
      <c r="AS24" s="356"/>
      <c r="AT24" s="359"/>
      <c r="AU24" s="359"/>
      <c r="AV24" s="359"/>
      <c r="AW24" s="362"/>
      <c r="AX24" s="362"/>
      <c r="AY24" s="365"/>
      <c r="AZ24" s="368"/>
      <c r="BA24" s="371"/>
      <c r="BB24" s="81" t="s">
        <v>393</v>
      </c>
      <c r="BC24" s="84" t="s">
        <v>394</v>
      </c>
      <c r="BD24" s="84" t="s">
        <v>333</v>
      </c>
      <c r="BE24" s="123" t="s">
        <v>395</v>
      </c>
      <c r="BF24" s="549"/>
      <c r="BG24" s="543"/>
      <c r="BH24" s="334"/>
      <c r="BI24" s="334"/>
      <c r="BJ24" s="337"/>
    </row>
    <row r="25" spans="2:62" s="86" customFormat="1" ht="72" x14ac:dyDescent="0.25">
      <c r="B25" s="377"/>
      <c r="C25" s="362"/>
      <c r="D25" s="374"/>
      <c r="E25" s="374"/>
      <c r="F25" s="362"/>
      <c r="G25" s="362"/>
      <c r="H25" s="374"/>
      <c r="I25" s="380"/>
      <c r="J25" s="380"/>
      <c r="K25" s="121" t="s">
        <v>396</v>
      </c>
      <c r="L25" s="383"/>
      <c r="M25" s="365"/>
      <c r="N25" s="362"/>
      <c r="O25" s="362"/>
      <c r="P25" s="365"/>
      <c r="Q25" s="371"/>
      <c r="R25" s="374" t="s">
        <v>397</v>
      </c>
      <c r="S25" s="374"/>
      <c r="T25" s="96" t="s">
        <v>286</v>
      </c>
      <c r="U25" s="95">
        <f t="shared" si="34"/>
        <v>15</v>
      </c>
      <c r="V25" s="96" t="s">
        <v>287</v>
      </c>
      <c r="W25" s="95">
        <f t="shared" si="35"/>
        <v>15</v>
      </c>
      <c r="X25" s="96" t="s">
        <v>288</v>
      </c>
      <c r="Y25" s="95">
        <f t="shared" si="36"/>
        <v>15</v>
      </c>
      <c r="Z25" s="96" t="s">
        <v>341</v>
      </c>
      <c r="AA25" s="95">
        <f t="shared" si="37"/>
        <v>10</v>
      </c>
      <c r="AB25" s="96" t="s">
        <v>290</v>
      </c>
      <c r="AC25" s="95">
        <f t="shared" si="38"/>
        <v>15</v>
      </c>
      <c r="AD25" s="96" t="s">
        <v>292</v>
      </c>
      <c r="AE25" s="95">
        <f t="shared" si="39"/>
        <v>15</v>
      </c>
      <c r="AF25" s="96" t="s">
        <v>289</v>
      </c>
      <c r="AG25" s="95">
        <f t="shared" si="40"/>
        <v>10</v>
      </c>
      <c r="AH25" s="99">
        <f t="shared" si="0"/>
        <v>95</v>
      </c>
      <c r="AI25" s="99" t="str">
        <f t="shared" ref="AI25:AI26" si="44">IF(AH25&gt;=96,"Fuerte",IF(AH25&gt;=86,"Moderado",IF(AH25&gt;=1,"Débil","")))</f>
        <v>Moderado</v>
      </c>
      <c r="AJ25" s="98" t="s">
        <v>342</v>
      </c>
      <c r="AK25" s="99" t="str">
        <f t="shared" si="41"/>
        <v>Moderado</v>
      </c>
      <c r="AL25" s="99" t="str">
        <f t="shared" si="42"/>
        <v>ModeradoModerado</v>
      </c>
      <c r="AM25" s="99" t="str">
        <f>IFERROR(VLOOKUP(AL25,[3]FORMULAS!$B$69:$D$77,3,FALSE),"")</f>
        <v>Moderado</v>
      </c>
      <c r="AN25" s="99">
        <f t="shared" si="43"/>
        <v>50</v>
      </c>
      <c r="AO25" s="99" t="str">
        <f>IFERROR(VLOOKUP(AL25,[3]FORMULAS!$B$69:$C$77,2,FALSE),"")</f>
        <v>Sí</v>
      </c>
      <c r="AP25" s="359"/>
      <c r="AQ25" s="359"/>
      <c r="AR25" s="356"/>
      <c r="AS25" s="356"/>
      <c r="AT25" s="359"/>
      <c r="AU25" s="359"/>
      <c r="AV25" s="359"/>
      <c r="AW25" s="362"/>
      <c r="AX25" s="362"/>
      <c r="AY25" s="365"/>
      <c r="AZ25" s="368"/>
      <c r="BA25" s="371"/>
      <c r="BB25" s="81" t="s">
        <v>398</v>
      </c>
      <c r="BC25" s="84" t="s">
        <v>399</v>
      </c>
      <c r="BD25" s="84" t="s">
        <v>333</v>
      </c>
      <c r="BE25" s="123" t="s">
        <v>395</v>
      </c>
      <c r="BF25" s="549"/>
      <c r="BG25" s="543"/>
      <c r="BH25" s="334"/>
      <c r="BI25" s="334"/>
      <c r="BJ25" s="337"/>
    </row>
    <row r="26" spans="2:62" s="86" customFormat="1" ht="12.75" thickBot="1" x14ac:dyDescent="0.3">
      <c r="B26" s="378"/>
      <c r="C26" s="363"/>
      <c r="D26" s="375"/>
      <c r="E26" s="375"/>
      <c r="F26" s="363"/>
      <c r="G26" s="363"/>
      <c r="H26" s="375"/>
      <c r="I26" s="381"/>
      <c r="J26" s="381"/>
      <c r="K26" s="124"/>
      <c r="L26" s="124"/>
      <c r="M26" s="366"/>
      <c r="N26" s="363"/>
      <c r="O26" s="363"/>
      <c r="P26" s="366"/>
      <c r="Q26" s="372"/>
      <c r="R26" s="375"/>
      <c r="S26" s="375"/>
      <c r="T26" s="125"/>
      <c r="U26" s="126">
        <f t="shared" si="34"/>
        <v>0</v>
      </c>
      <c r="V26" s="125"/>
      <c r="W26" s="126">
        <f t="shared" si="35"/>
        <v>0</v>
      </c>
      <c r="X26" s="125"/>
      <c r="Y26" s="126">
        <f t="shared" si="36"/>
        <v>0</v>
      </c>
      <c r="Z26" s="125"/>
      <c r="AA26" s="126">
        <f t="shared" si="37"/>
        <v>0</v>
      </c>
      <c r="AB26" s="125"/>
      <c r="AC26" s="126">
        <f t="shared" si="38"/>
        <v>0</v>
      </c>
      <c r="AD26" s="125"/>
      <c r="AE26" s="126">
        <f t="shared" si="39"/>
        <v>0</v>
      </c>
      <c r="AF26" s="125"/>
      <c r="AG26" s="126">
        <f t="shared" si="40"/>
        <v>0</v>
      </c>
      <c r="AH26" s="127">
        <f t="shared" si="0"/>
        <v>0</v>
      </c>
      <c r="AI26" s="127" t="str">
        <f t="shared" si="44"/>
        <v/>
      </c>
      <c r="AJ26" s="128"/>
      <c r="AK26" s="127" t="str">
        <f t="shared" si="41"/>
        <v/>
      </c>
      <c r="AL26" s="127" t="str">
        <f t="shared" si="42"/>
        <v/>
      </c>
      <c r="AM26" s="127" t="str">
        <f>IFERROR(VLOOKUP(AL26,[3]FORMULAS!$B$69:$D$77,3,FALSE),"")</f>
        <v/>
      </c>
      <c r="AN26" s="127" t="str">
        <f t="shared" si="43"/>
        <v/>
      </c>
      <c r="AO26" s="127" t="str">
        <f>IFERROR(VLOOKUP(AL26,[3]FORMULAS!$B$69:$C$77,2,FALSE),"")</f>
        <v/>
      </c>
      <c r="AP26" s="360"/>
      <c r="AQ26" s="360"/>
      <c r="AR26" s="357"/>
      <c r="AS26" s="357"/>
      <c r="AT26" s="360"/>
      <c r="AU26" s="360"/>
      <c r="AV26" s="360"/>
      <c r="AW26" s="363"/>
      <c r="AX26" s="363"/>
      <c r="AY26" s="366"/>
      <c r="AZ26" s="369"/>
      <c r="BA26" s="372"/>
      <c r="BB26" s="131"/>
      <c r="BC26" s="132"/>
      <c r="BD26" s="132"/>
      <c r="BE26" s="133"/>
      <c r="BF26" s="549"/>
      <c r="BG26" s="544"/>
      <c r="BH26" s="335"/>
      <c r="BI26" s="335"/>
      <c r="BJ26" s="338"/>
    </row>
    <row r="27" spans="2:62" s="86" customFormat="1" ht="60" x14ac:dyDescent="0.25">
      <c r="B27" s="376" t="s">
        <v>71</v>
      </c>
      <c r="C27" s="361">
        <v>5</v>
      </c>
      <c r="D27" s="373" t="s">
        <v>402</v>
      </c>
      <c r="E27" s="373" t="s">
        <v>403</v>
      </c>
      <c r="F27" s="361" t="s">
        <v>89</v>
      </c>
      <c r="G27" s="361" t="s">
        <v>97</v>
      </c>
      <c r="H27" s="373" t="s">
        <v>329</v>
      </c>
      <c r="I27" s="379"/>
      <c r="J27" s="379"/>
      <c r="K27" s="109" t="s">
        <v>404</v>
      </c>
      <c r="L27" s="352" t="s">
        <v>405</v>
      </c>
      <c r="M27" s="364" t="str">
        <f>IF(F27="gestion","impacto",IF(F27="corrupcion","impactocorrupcion",IF(F27="seguridad_de_la_informacion","impacto","")))</f>
        <v>impacto</v>
      </c>
      <c r="N27" s="361" t="s">
        <v>18</v>
      </c>
      <c r="O27" s="361" t="s">
        <v>22</v>
      </c>
      <c r="P27" s="364" t="str">
        <f>N27&amp;O27</f>
        <v>PosibleMenor</v>
      </c>
      <c r="Q27" s="370" t="str">
        <f>IFERROR(VLOOKUP(P27,[4]FORMULAS!$B$37:$C$61,2,FALSE),"")</f>
        <v>Riesgo moderado</v>
      </c>
      <c r="R27" s="373" t="s">
        <v>406</v>
      </c>
      <c r="S27" s="373"/>
      <c r="T27" s="112" t="s">
        <v>286</v>
      </c>
      <c r="U27" s="113">
        <f>IF(T27="Asignado",15,0)</f>
        <v>15</v>
      </c>
      <c r="V27" s="112" t="s">
        <v>287</v>
      </c>
      <c r="W27" s="113">
        <f>IF(V27="Adecuado",15,0)</f>
        <v>15</v>
      </c>
      <c r="X27" s="112" t="s">
        <v>288</v>
      </c>
      <c r="Y27" s="113">
        <f>IF(X27="Oportuna",15,0)</f>
        <v>15</v>
      </c>
      <c r="Z27" s="112" t="s">
        <v>291</v>
      </c>
      <c r="AA27" s="113">
        <f>IF(Z27="Prevenir",15,IF(Z27="Detectar",10,0))</f>
        <v>15</v>
      </c>
      <c r="AB27" s="112" t="s">
        <v>290</v>
      </c>
      <c r="AC27" s="113">
        <f>IF(AB27="Confiable",15,0)</f>
        <v>15</v>
      </c>
      <c r="AD27" s="112" t="s">
        <v>292</v>
      </c>
      <c r="AE27" s="113">
        <f>IF(AD27="Se investigan y resuelven oportunamente",15,0)</f>
        <v>15</v>
      </c>
      <c r="AF27" s="112" t="s">
        <v>289</v>
      </c>
      <c r="AG27" s="113">
        <f>IF(AF27="Completa",10,IF(AF27="incompleta",5,0))</f>
        <v>10</v>
      </c>
      <c r="AH27" s="114">
        <f t="shared" si="0"/>
        <v>100</v>
      </c>
      <c r="AI27" s="114" t="str">
        <f>IF(AH27&gt;=96,"Fuerte",IF(AH27&gt;=86,"Moderado",IF(AH27&gt;=1,"Débil","")))</f>
        <v>Fuerte</v>
      </c>
      <c r="AJ27" s="115" t="s">
        <v>342</v>
      </c>
      <c r="AK27" s="114" t="str">
        <f>IF(AJ27="Siempre se ejecuta","Fuerte",IF(AJ27="Algunas veces","Moderado",IF(AJ27="no se ejecuta","Débil","")))</f>
        <v>Moderado</v>
      </c>
      <c r="AL27" s="114" t="str">
        <f>AI27&amp;AK27</f>
        <v>FuerteModerado</v>
      </c>
      <c r="AM27" s="114" t="str">
        <f>IFERROR(VLOOKUP(AL27,[4]FORMULAS!$B$69:$D$77,3,FALSE),"")</f>
        <v>Moderado</v>
      </c>
      <c r="AN27" s="114">
        <f>IF(AM27="fuerte",100,IF(AM27="Moderado",50,IF(AM27="débil",0,"")))</f>
        <v>50</v>
      </c>
      <c r="AO27" s="114" t="str">
        <f>IFERROR(VLOOKUP(AL27,[4]FORMULAS!$B$69:$D$77,2,FALSE),"")</f>
        <v>Sí</v>
      </c>
      <c r="AP27" s="358">
        <f>IFERROR(AVERAGE(AN27:AN30),0)</f>
        <v>50</v>
      </c>
      <c r="AQ27" s="358" t="str">
        <f>IF(AP27&gt;=100,"Fuerte",IF(AP27&gt;=50,"Moderado",IF(AP27&gt;=1,"Débil","")))</f>
        <v>Moderado</v>
      </c>
      <c r="AR27" s="355" t="s">
        <v>160</v>
      </c>
      <c r="AS27" s="355" t="s">
        <v>162</v>
      </c>
      <c r="AT27" s="358" t="str">
        <f>+AQ27&amp;AR27&amp;AS27</f>
        <v>ModeradoDirectamenteIndirectamente</v>
      </c>
      <c r="AU27" s="358">
        <f>IFERROR(VLOOKUP(AT27,[4]FORMULAS!$B$94:$D$101,2,FALSE),0)</f>
        <v>1</v>
      </c>
      <c r="AV27" s="358">
        <f>IFERROR(VLOOKUP(AT27,[4]FORMULAS!$B$94:$D$101,3,FALSE),0)</f>
        <v>0</v>
      </c>
      <c r="AW27" s="361" t="s">
        <v>17</v>
      </c>
      <c r="AX27" s="361" t="s">
        <v>22</v>
      </c>
      <c r="AY27" s="364" t="str">
        <f>AW27&amp;AX27</f>
        <v>ImprobableMenor</v>
      </c>
      <c r="AZ27" s="367" t="str">
        <f>IFERROR(VLOOKUP(AY27,[4]FORMULAS!$B$37:$C$61,2,FALSE),"")</f>
        <v>Riesgo bajo</v>
      </c>
      <c r="BA27" s="370" t="s">
        <v>166</v>
      </c>
      <c r="BB27" s="153" t="s">
        <v>407</v>
      </c>
      <c r="BC27" s="119" t="s">
        <v>408</v>
      </c>
      <c r="BD27" s="119" t="s">
        <v>333</v>
      </c>
      <c r="BE27" s="120" t="s">
        <v>409</v>
      </c>
      <c r="BF27" s="549"/>
      <c r="BG27" s="542" t="s">
        <v>415</v>
      </c>
      <c r="BH27" s="119" t="s">
        <v>367</v>
      </c>
      <c r="BI27" s="119" t="s">
        <v>333</v>
      </c>
      <c r="BJ27" s="154" t="s">
        <v>416</v>
      </c>
    </row>
    <row r="28" spans="2:62" s="86" customFormat="1" ht="60" x14ac:dyDescent="0.25">
      <c r="B28" s="377"/>
      <c r="C28" s="362"/>
      <c r="D28" s="374"/>
      <c r="E28" s="374"/>
      <c r="F28" s="362"/>
      <c r="G28" s="362"/>
      <c r="H28" s="374"/>
      <c r="I28" s="380"/>
      <c r="J28" s="380"/>
      <c r="K28" s="121" t="s">
        <v>410</v>
      </c>
      <c r="L28" s="353"/>
      <c r="M28" s="365"/>
      <c r="N28" s="362"/>
      <c r="O28" s="362"/>
      <c r="P28" s="365"/>
      <c r="Q28" s="371"/>
      <c r="R28" s="374" t="s">
        <v>411</v>
      </c>
      <c r="S28" s="374"/>
      <c r="T28" s="96" t="s">
        <v>286</v>
      </c>
      <c r="U28" s="95">
        <f t="shared" ref="U28:U30" si="45">IF(T28="Asignado",15,0)</f>
        <v>15</v>
      </c>
      <c r="V28" s="96" t="s">
        <v>287</v>
      </c>
      <c r="W28" s="95">
        <f t="shared" ref="W28:W30" si="46">IF(V28="Adecuado",15,0)</f>
        <v>15</v>
      </c>
      <c r="X28" s="96" t="s">
        <v>288</v>
      </c>
      <c r="Y28" s="95">
        <f t="shared" ref="Y28:Y30" si="47">IF(X28="Oportuna",15,0)</f>
        <v>15</v>
      </c>
      <c r="Z28" s="96" t="s">
        <v>291</v>
      </c>
      <c r="AA28" s="95">
        <f t="shared" ref="AA28:AA30" si="48">IF(Z28="Prevenir",15,IF(Z28="Detectar",10,0))</f>
        <v>15</v>
      </c>
      <c r="AB28" s="96" t="s">
        <v>290</v>
      </c>
      <c r="AC28" s="95">
        <f t="shared" ref="AC28:AC30" si="49">IF(AB28="Confiable",15,0)</f>
        <v>15</v>
      </c>
      <c r="AD28" s="96" t="s">
        <v>292</v>
      </c>
      <c r="AE28" s="95">
        <f t="shared" ref="AE28:AE30" si="50">IF(AD28="Se investigan y resuelven oportunamente",15,0)</f>
        <v>15</v>
      </c>
      <c r="AF28" s="96" t="s">
        <v>289</v>
      </c>
      <c r="AG28" s="95">
        <f t="shared" ref="AG28:AG30" si="51">IF(AF28="Completa",10,IF(AF28="incompleta",5,0))</f>
        <v>10</v>
      </c>
      <c r="AH28" s="99">
        <f t="shared" si="0"/>
        <v>100</v>
      </c>
      <c r="AI28" s="99" t="str">
        <f>IF(AH28&gt;=96,"Fuerte",IF(AH28&gt;=86,"Moderado",IF(AH28&gt;=1,"Débil","")))</f>
        <v>Fuerte</v>
      </c>
      <c r="AJ28" s="98" t="s">
        <v>342</v>
      </c>
      <c r="AK28" s="99" t="str">
        <f t="shared" ref="AK28:AK30" si="52">IF(AJ28="Siempre se ejecuta","Fuerte",IF(AJ28="Algunas veces","Moderado",IF(AJ28="no se ejecuta","Débil","")))</f>
        <v>Moderado</v>
      </c>
      <c r="AL28" s="99" t="str">
        <f t="shared" ref="AL28:AL30" si="53">AI28&amp;AK28</f>
        <v>FuerteModerado</v>
      </c>
      <c r="AM28" s="99" t="str">
        <f>IFERROR(VLOOKUP(AL28,[4]FORMULAS!$B$69:$D$77,3,FALSE),"")</f>
        <v>Moderado</v>
      </c>
      <c r="AN28" s="99">
        <f t="shared" ref="AN28:AN30" si="54">IF(AM28="fuerte",100,IF(AM28="Moderado",50,IF(AM28="débil",0,"")))</f>
        <v>50</v>
      </c>
      <c r="AO28" s="99" t="str">
        <f>IFERROR(VLOOKUP(AL28,[4]FORMULAS!$B$69:$C$77,2,FALSE),"")</f>
        <v>Sí</v>
      </c>
      <c r="AP28" s="359"/>
      <c r="AQ28" s="359"/>
      <c r="AR28" s="356"/>
      <c r="AS28" s="356"/>
      <c r="AT28" s="359"/>
      <c r="AU28" s="359"/>
      <c r="AV28" s="359"/>
      <c r="AW28" s="362"/>
      <c r="AX28" s="362"/>
      <c r="AY28" s="365"/>
      <c r="AZ28" s="368"/>
      <c r="BA28" s="371"/>
      <c r="BB28" s="81" t="s">
        <v>412</v>
      </c>
      <c r="BC28" s="84" t="s">
        <v>413</v>
      </c>
      <c r="BD28" s="84" t="s">
        <v>333</v>
      </c>
      <c r="BE28" s="123" t="s">
        <v>414</v>
      </c>
      <c r="BF28" s="549"/>
      <c r="BG28" s="543"/>
      <c r="BH28" s="82"/>
      <c r="BI28" s="82"/>
      <c r="BJ28" s="155"/>
    </row>
    <row r="29" spans="2:62" s="86" customFormat="1" ht="12" x14ac:dyDescent="0.25">
      <c r="B29" s="377"/>
      <c r="C29" s="362"/>
      <c r="D29" s="374"/>
      <c r="E29" s="374"/>
      <c r="F29" s="362"/>
      <c r="G29" s="362"/>
      <c r="H29" s="374"/>
      <c r="I29" s="380"/>
      <c r="J29" s="380"/>
      <c r="K29" s="121"/>
      <c r="L29" s="353"/>
      <c r="M29" s="365"/>
      <c r="N29" s="362"/>
      <c r="O29" s="362"/>
      <c r="P29" s="365"/>
      <c r="Q29" s="371"/>
      <c r="R29" s="374"/>
      <c r="S29" s="374"/>
      <c r="T29" s="96"/>
      <c r="U29" s="95">
        <f t="shared" si="45"/>
        <v>0</v>
      </c>
      <c r="V29" s="96"/>
      <c r="W29" s="95">
        <f t="shared" si="46"/>
        <v>0</v>
      </c>
      <c r="X29" s="96"/>
      <c r="Y29" s="95">
        <f t="shared" si="47"/>
        <v>0</v>
      </c>
      <c r="Z29" s="96"/>
      <c r="AA29" s="95">
        <f t="shared" si="48"/>
        <v>0</v>
      </c>
      <c r="AB29" s="96"/>
      <c r="AC29" s="95">
        <f t="shared" si="49"/>
        <v>0</v>
      </c>
      <c r="AD29" s="96"/>
      <c r="AE29" s="95">
        <f t="shared" si="50"/>
        <v>0</v>
      </c>
      <c r="AF29" s="96"/>
      <c r="AG29" s="95">
        <f t="shared" si="51"/>
        <v>0</v>
      </c>
      <c r="AH29" s="99">
        <f t="shared" si="0"/>
        <v>0</v>
      </c>
      <c r="AI29" s="99" t="str">
        <f t="shared" ref="AI29:AI30" si="55">IF(AH29&gt;=96,"Fuerte",IF(AH29&gt;=86,"Moderado",IF(AH29&gt;=1,"Débil","")))</f>
        <v/>
      </c>
      <c r="AJ29" s="98"/>
      <c r="AK29" s="99" t="str">
        <f t="shared" si="52"/>
        <v/>
      </c>
      <c r="AL29" s="99" t="str">
        <f t="shared" si="53"/>
        <v/>
      </c>
      <c r="AM29" s="99" t="str">
        <f>IFERROR(VLOOKUP(AL29,[4]FORMULAS!$B$69:$D$77,3,FALSE),"")</f>
        <v/>
      </c>
      <c r="AN29" s="99" t="str">
        <f t="shared" si="54"/>
        <v/>
      </c>
      <c r="AO29" s="99" t="str">
        <f>IFERROR(VLOOKUP(AL29,[4]FORMULAS!$B$69:$C$77,2,FALSE),"")</f>
        <v/>
      </c>
      <c r="AP29" s="359"/>
      <c r="AQ29" s="359"/>
      <c r="AR29" s="356"/>
      <c r="AS29" s="356"/>
      <c r="AT29" s="359"/>
      <c r="AU29" s="359"/>
      <c r="AV29" s="359"/>
      <c r="AW29" s="362"/>
      <c r="AX29" s="362"/>
      <c r="AY29" s="365"/>
      <c r="AZ29" s="368"/>
      <c r="BA29" s="371"/>
      <c r="BB29" s="81"/>
      <c r="BC29" s="82"/>
      <c r="BD29" s="82"/>
      <c r="BE29" s="123"/>
      <c r="BF29" s="549"/>
      <c r="BG29" s="543"/>
      <c r="BH29" s="82"/>
      <c r="BI29" s="82"/>
      <c r="BJ29" s="155"/>
    </row>
    <row r="30" spans="2:62" s="86" customFormat="1" ht="12.75" thickBot="1" x14ac:dyDescent="0.3">
      <c r="B30" s="378"/>
      <c r="C30" s="363"/>
      <c r="D30" s="375"/>
      <c r="E30" s="375"/>
      <c r="F30" s="363"/>
      <c r="G30" s="363"/>
      <c r="H30" s="375"/>
      <c r="I30" s="381"/>
      <c r="J30" s="381"/>
      <c r="K30" s="124"/>
      <c r="L30" s="354"/>
      <c r="M30" s="366"/>
      <c r="N30" s="363"/>
      <c r="O30" s="363"/>
      <c r="P30" s="366"/>
      <c r="Q30" s="372"/>
      <c r="R30" s="375"/>
      <c r="S30" s="375"/>
      <c r="T30" s="125"/>
      <c r="U30" s="126">
        <f t="shared" si="45"/>
        <v>0</v>
      </c>
      <c r="V30" s="125"/>
      <c r="W30" s="126">
        <f t="shared" si="46"/>
        <v>0</v>
      </c>
      <c r="X30" s="125"/>
      <c r="Y30" s="126">
        <f t="shared" si="47"/>
        <v>0</v>
      </c>
      <c r="Z30" s="125"/>
      <c r="AA30" s="126">
        <f t="shared" si="48"/>
        <v>0</v>
      </c>
      <c r="AB30" s="125"/>
      <c r="AC30" s="126">
        <f t="shared" si="49"/>
        <v>0</v>
      </c>
      <c r="AD30" s="125"/>
      <c r="AE30" s="126">
        <f t="shared" si="50"/>
        <v>0</v>
      </c>
      <c r="AF30" s="125"/>
      <c r="AG30" s="126">
        <f t="shared" si="51"/>
        <v>0</v>
      </c>
      <c r="AH30" s="127">
        <f t="shared" si="0"/>
        <v>0</v>
      </c>
      <c r="AI30" s="127" t="str">
        <f t="shared" si="55"/>
        <v/>
      </c>
      <c r="AJ30" s="128"/>
      <c r="AK30" s="127" t="str">
        <f t="shared" si="52"/>
        <v/>
      </c>
      <c r="AL30" s="127" t="str">
        <f t="shared" si="53"/>
        <v/>
      </c>
      <c r="AM30" s="127" t="str">
        <f>IFERROR(VLOOKUP(AL30,[4]FORMULAS!$B$69:$D$77,3,FALSE),"")</f>
        <v/>
      </c>
      <c r="AN30" s="127" t="str">
        <f t="shared" si="54"/>
        <v/>
      </c>
      <c r="AO30" s="127" t="str">
        <f>IFERROR(VLOOKUP(AL30,[4]FORMULAS!$B$69:$C$77,2,FALSE),"")</f>
        <v/>
      </c>
      <c r="AP30" s="360"/>
      <c r="AQ30" s="360"/>
      <c r="AR30" s="357"/>
      <c r="AS30" s="357"/>
      <c r="AT30" s="360"/>
      <c r="AU30" s="360"/>
      <c r="AV30" s="360"/>
      <c r="AW30" s="363"/>
      <c r="AX30" s="363"/>
      <c r="AY30" s="366"/>
      <c r="AZ30" s="369"/>
      <c r="BA30" s="372"/>
      <c r="BB30" s="131"/>
      <c r="BC30" s="132"/>
      <c r="BD30" s="132"/>
      <c r="BE30" s="133"/>
      <c r="BF30" s="550"/>
      <c r="BG30" s="544"/>
      <c r="BH30" s="132"/>
      <c r="BI30" s="132"/>
      <c r="BJ30" s="156"/>
    </row>
    <row r="31" spans="2:62" s="86" customFormat="1" ht="48" x14ac:dyDescent="0.25">
      <c r="B31" s="376" t="s">
        <v>72</v>
      </c>
      <c r="C31" s="361">
        <v>6</v>
      </c>
      <c r="D31" s="373" t="s">
        <v>418</v>
      </c>
      <c r="E31" s="373" t="s">
        <v>419</v>
      </c>
      <c r="F31" s="361" t="s">
        <v>89</v>
      </c>
      <c r="G31" s="361" t="s">
        <v>96</v>
      </c>
      <c r="H31" s="373" t="s">
        <v>329</v>
      </c>
      <c r="I31" s="379" t="s">
        <v>125</v>
      </c>
      <c r="J31" s="379" t="s">
        <v>107</v>
      </c>
      <c r="K31" s="109" t="s">
        <v>420</v>
      </c>
      <c r="L31" s="352" t="s">
        <v>421</v>
      </c>
      <c r="M31" s="364" t="str">
        <f>IF(F31="gestion","impacto",IF(F31="corrupcion","impactocorrupcion",IF(F31="seguridad_de_la_informacion","impacto","")))</f>
        <v>impacto</v>
      </c>
      <c r="N31" s="361" t="s">
        <v>135</v>
      </c>
      <c r="O31" s="361" t="s">
        <v>23</v>
      </c>
      <c r="P31" s="364" t="str">
        <f>N31&amp;O31</f>
        <v>Casi seguroModerado</v>
      </c>
      <c r="Q31" s="370" t="str">
        <f>IFERROR(VLOOKUP(P31,[5]FORMULAS!$B$37:$C$61,2,FALSE),"")</f>
        <v>Riesgo extremo</v>
      </c>
      <c r="R31" s="512" t="s">
        <v>422</v>
      </c>
      <c r="S31" s="513"/>
      <c r="T31" s="112" t="s">
        <v>286</v>
      </c>
      <c r="U31" s="113">
        <f>IF(T31="Asignado",15,0)</f>
        <v>15</v>
      </c>
      <c r="V31" s="112" t="s">
        <v>287</v>
      </c>
      <c r="W31" s="113">
        <f>IF(V31="Adecuado",15,0)</f>
        <v>15</v>
      </c>
      <c r="X31" s="112" t="s">
        <v>288</v>
      </c>
      <c r="Y31" s="113">
        <f>IF(X31="Oportuna",15,0)</f>
        <v>15</v>
      </c>
      <c r="Z31" s="112" t="s">
        <v>291</v>
      </c>
      <c r="AA31" s="113">
        <f>IF(Z31="Prevenir",15,IF(Z31="Detectar",10,0))</f>
        <v>15</v>
      </c>
      <c r="AB31" s="112" t="s">
        <v>290</v>
      </c>
      <c r="AC31" s="113">
        <f>IF(AB31="Confiable",15,0)</f>
        <v>15</v>
      </c>
      <c r="AD31" s="112" t="s">
        <v>292</v>
      </c>
      <c r="AE31" s="113">
        <f>IF(AD31="Se investigan y resuelven oportunamente",15,0)</f>
        <v>15</v>
      </c>
      <c r="AF31" s="112" t="s">
        <v>289</v>
      </c>
      <c r="AG31" s="113">
        <f>IF(AF31="Completa",10,IF(AF31="incompleta",5,0))</f>
        <v>10</v>
      </c>
      <c r="AH31" s="114">
        <f t="shared" si="0"/>
        <v>100</v>
      </c>
      <c r="AI31" s="114" t="str">
        <f>IF(AH31&gt;=96,"Fuerte",IF(AH31&gt;=86,"Moderado",IF(AH31&gt;=1,"Débil","")))</f>
        <v>Fuerte</v>
      </c>
      <c r="AJ31" s="115" t="s">
        <v>342</v>
      </c>
      <c r="AK31" s="114" t="str">
        <f>IF(AJ31="Siempre se ejecuta","Fuerte",IF(AJ31="Algunas veces","Moderado",IF(AJ31="no se ejecuta","Débil","")))</f>
        <v>Moderado</v>
      </c>
      <c r="AL31" s="114" t="str">
        <f>AI31&amp;AK31</f>
        <v>FuerteModerado</v>
      </c>
      <c r="AM31" s="114" t="str">
        <f>IFERROR(VLOOKUP(AL31,[5]FORMULAS!$B$69:$D$77,3,FALSE),"")</f>
        <v>Moderado</v>
      </c>
      <c r="AN31" s="114">
        <f>IF(AM31="fuerte",100,IF(AM31="Moderado",50,IF(AM31="débil",0,"")))</f>
        <v>50</v>
      </c>
      <c r="AO31" s="114" t="str">
        <f>IFERROR(VLOOKUP(AL31,[5]FORMULAS!$B$69:$D$77,2,FALSE),"")</f>
        <v>Sí</v>
      </c>
      <c r="AP31" s="358">
        <f>IFERROR(AVERAGE(AN31:AN34),0)</f>
        <v>75</v>
      </c>
      <c r="AQ31" s="358" t="str">
        <f>IF(AP31&gt;=100,"Fuerte",IF(AP31&gt;=50,"Moderado",IF(AP31&gt;=1,"Débil","")))</f>
        <v>Moderado</v>
      </c>
      <c r="AR31" s="355" t="s">
        <v>160</v>
      </c>
      <c r="AS31" s="355" t="s">
        <v>162</v>
      </c>
      <c r="AT31" s="358" t="str">
        <f>+AQ31&amp;AR31&amp;AS31</f>
        <v>ModeradoDirectamenteIndirectamente</v>
      </c>
      <c r="AU31" s="358">
        <f>IFERROR(VLOOKUP(AT31,[5]FORMULAS!$B$94:$D$101,2,FALSE),0)</f>
        <v>1</v>
      </c>
      <c r="AV31" s="358">
        <f>IFERROR(VLOOKUP(AT31,[5]FORMULAS!$B$94:$D$101,3,FALSE),0)</f>
        <v>0</v>
      </c>
      <c r="AW31" s="361" t="s">
        <v>19</v>
      </c>
      <c r="AX31" s="361" t="s">
        <v>23</v>
      </c>
      <c r="AY31" s="364" t="str">
        <f>AW31&amp;AX31</f>
        <v>ProbableModerado</v>
      </c>
      <c r="AZ31" s="367" t="str">
        <f>IFERROR(VLOOKUP(AY31,[5]FORMULAS!$B$37:$C$61,2,FALSE),"")</f>
        <v>Riesgo alto</v>
      </c>
      <c r="BA31" s="370" t="s">
        <v>167</v>
      </c>
      <c r="BB31" s="153" t="s">
        <v>423</v>
      </c>
      <c r="BC31" s="153" t="s">
        <v>424</v>
      </c>
      <c r="BD31" s="119" t="s">
        <v>425</v>
      </c>
      <c r="BE31" s="160" t="s">
        <v>426</v>
      </c>
      <c r="BF31" s="160" t="s">
        <v>427</v>
      </c>
      <c r="BG31" s="153" t="s">
        <v>440</v>
      </c>
      <c r="BH31" s="153" t="s">
        <v>441</v>
      </c>
      <c r="BI31" s="153" t="s">
        <v>442</v>
      </c>
      <c r="BJ31" s="120" t="s">
        <v>443</v>
      </c>
    </row>
    <row r="32" spans="2:62" s="86" customFormat="1" ht="60" x14ac:dyDescent="0.25">
      <c r="B32" s="377"/>
      <c r="C32" s="362"/>
      <c r="D32" s="374"/>
      <c r="E32" s="374"/>
      <c r="F32" s="362"/>
      <c r="G32" s="362"/>
      <c r="H32" s="374"/>
      <c r="I32" s="380"/>
      <c r="J32" s="380"/>
      <c r="K32" s="121" t="s">
        <v>428</v>
      </c>
      <c r="L32" s="353"/>
      <c r="M32" s="365"/>
      <c r="N32" s="362"/>
      <c r="O32" s="362"/>
      <c r="P32" s="365"/>
      <c r="Q32" s="371"/>
      <c r="R32" s="514" t="s">
        <v>429</v>
      </c>
      <c r="S32" s="515"/>
      <c r="T32" s="96" t="s">
        <v>286</v>
      </c>
      <c r="U32" s="95">
        <f t="shared" ref="U32:U34" si="56">IF(T32="Asignado",15,0)</f>
        <v>15</v>
      </c>
      <c r="V32" s="96" t="s">
        <v>287</v>
      </c>
      <c r="W32" s="95">
        <f t="shared" ref="W32:W34" si="57">IF(V32="Adecuado",15,0)</f>
        <v>15</v>
      </c>
      <c r="X32" s="96" t="s">
        <v>288</v>
      </c>
      <c r="Y32" s="95">
        <f t="shared" ref="Y32:Y34" si="58">IF(X32="Oportuna",15,0)</f>
        <v>15</v>
      </c>
      <c r="Z32" s="96" t="s">
        <v>291</v>
      </c>
      <c r="AA32" s="95">
        <f t="shared" ref="AA32:AA34" si="59">IF(Z32="Prevenir",15,IF(Z32="Detectar",10,0))</f>
        <v>15</v>
      </c>
      <c r="AB32" s="96" t="s">
        <v>290</v>
      </c>
      <c r="AC32" s="95">
        <f t="shared" ref="AC32:AC34" si="60">IF(AB32="Confiable",15,0)</f>
        <v>15</v>
      </c>
      <c r="AD32" s="96" t="s">
        <v>292</v>
      </c>
      <c r="AE32" s="95">
        <f t="shared" ref="AE32:AE34" si="61">IF(AD32="Se investigan y resuelven oportunamente",15,0)</f>
        <v>15</v>
      </c>
      <c r="AF32" s="96" t="s">
        <v>289</v>
      </c>
      <c r="AG32" s="95">
        <f t="shared" ref="AG32:AG34" si="62">IF(AF32="Completa",10,IF(AF32="incompleta",5,0))</f>
        <v>10</v>
      </c>
      <c r="AH32" s="99">
        <f t="shared" si="0"/>
        <v>100</v>
      </c>
      <c r="AI32" s="99" t="str">
        <f>IF(AH32&gt;=96,"Fuerte",IF(AH32&gt;=86,"Moderado",IF(AH32&gt;=1,"Débil","")))</f>
        <v>Fuerte</v>
      </c>
      <c r="AJ32" s="98" t="s">
        <v>293</v>
      </c>
      <c r="AK32" s="99" t="str">
        <f t="shared" ref="AK32:AK34" si="63">IF(AJ32="Siempre se ejecuta","Fuerte",IF(AJ32="Algunas veces","Moderado",IF(AJ32="no se ejecuta","Débil","")))</f>
        <v>Fuerte</v>
      </c>
      <c r="AL32" s="99" t="str">
        <f t="shared" ref="AL32:AL34" si="64">AI32&amp;AK32</f>
        <v>FuerteFuerte</v>
      </c>
      <c r="AM32" s="99" t="str">
        <f>IFERROR(VLOOKUP(AL32,[5]FORMULAS!$B$69:$D$77,3,FALSE),"")</f>
        <v>Fuerte</v>
      </c>
      <c r="AN32" s="99">
        <f t="shared" ref="AN32:AN34" si="65">IF(AM32="fuerte",100,IF(AM32="Moderado",50,IF(AM32="débil",0,"")))</f>
        <v>100</v>
      </c>
      <c r="AO32" s="99" t="str">
        <f>IFERROR(VLOOKUP(AL32,[5]FORMULAS!$B$69:$C$77,2,FALSE),"")</f>
        <v>No</v>
      </c>
      <c r="AP32" s="359"/>
      <c r="AQ32" s="359"/>
      <c r="AR32" s="356"/>
      <c r="AS32" s="356"/>
      <c r="AT32" s="359"/>
      <c r="AU32" s="359"/>
      <c r="AV32" s="359"/>
      <c r="AW32" s="362"/>
      <c r="AX32" s="362"/>
      <c r="AY32" s="365"/>
      <c r="AZ32" s="368"/>
      <c r="BA32" s="371"/>
      <c r="BB32" s="81" t="s">
        <v>430</v>
      </c>
      <c r="BC32" s="81" t="s">
        <v>431</v>
      </c>
      <c r="BD32" s="84" t="s">
        <v>425</v>
      </c>
      <c r="BE32" s="159" t="s">
        <v>432</v>
      </c>
      <c r="BF32" s="83" t="s">
        <v>433</v>
      </c>
      <c r="BG32" s="81"/>
      <c r="BH32" s="81"/>
      <c r="BI32" s="81"/>
      <c r="BJ32" s="123"/>
    </row>
    <row r="33" spans="2:62" s="86" customFormat="1" ht="24" x14ac:dyDescent="0.25">
      <c r="B33" s="377"/>
      <c r="C33" s="362"/>
      <c r="D33" s="374"/>
      <c r="E33" s="374"/>
      <c r="F33" s="362"/>
      <c r="G33" s="362"/>
      <c r="H33" s="374"/>
      <c r="I33" s="380"/>
      <c r="J33" s="380"/>
      <c r="K33" s="121"/>
      <c r="L33" s="353"/>
      <c r="M33" s="365"/>
      <c r="N33" s="362"/>
      <c r="O33" s="362"/>
      <c r="P33" s="365"/>
      <c r="Q33" s="371"/>
      <c r="R33" s="374"/>
      <c r="S33" s="374"/>
      <c r="T33" s="96"/>
      <c r="U33" s="95">
        <f t="shared" si="56"/>
        <v>0</v>
      </c>
      <c r="V33" s="96"/>
      <c r="W33" s="95">
        <f t="shared" si="57"/>
        <v>0</v>
      </c>
      <c r="X33" s="96"/>
      <c r="Y33" s="95">
        <f t="shared" si="58"/>
        <v>0</v>
      </c>
      <c r="Z33" s="96"/>
      <c r="AA33" s="95">
        <f t="shared" si="59"/>
        <v>0</v>
      </c>
      <c r="AB33" s="96"/>
      <c r="AC33" s="95">
        <f t="shared" si="60"/>
        <v>0</v>
      </c>
      <c r="AD33" s="96"/>
      <c r="AE33" s="95">
        <f t="shared" si="61"/>
        <v>0</v>
      </c>
      <c r="AF33" s="96"/>
      <c r="AG33" s="95">
        <f t="shared" si="62"/>
        <v>0</v>
      </c>
      <c r="AH33" s="99">
        <f t="shared" si="0"/>
        <v>0</v>
      </c>
      <c r="AI33" s="99" t="str">
        <f t="shared" ref="AI33:AI34" si="66">IF(AH33&gt;=96,"Fuerte",IF(AH33&gt;=86,"Moderado",IF(AH33&gt;=1,"Débil","")))</f>
        <v/>
      </c>
      <c r="AJ33" s="98"/>
      <c r="AK33" s="99" t="str">
        <f t="shared" si="63"/>
        <v/>
      </c>
      <c r="AL33" s="99" t="str">
        <f t="shared" si="64"/>
        <v/>
      </c>
      <c r="AM33" s="99" t="str">
        <f>IFERROR(VLOOKUP(AL33,[5]FORMULAS!$B$69:$D$77,3,FALSE),"")</f>
        <v/>
      </c>
      <c r="AN33" s="99" t="str">
        <f t="shared" si="65"/>
        <v/>
      </c>
      <c r="AO33" s="99" t="str">
        <f>IFERROR(VLOOKUP(AL33,[5]FORMULAS!$B$69:$C$77,2,FALSE),"")</f>
        <v/>
      </c>
      <c r="AP33" s="359"/>
      <c r="AQ33" s="359"/>
      <c r="AR33" s="356"/>
      <c r="AS33" s="356"/>
      <c r="AT33" s="359"/>
      <c r="AU33" s="359"/>
      <c r="AV33" s="359"/>
      <c r="AW33" s="362"/>
      <c r="AX33" s="362"/>
      <c r="AY33" s="365"/>
      <c r="AZ33" s="368"/>
      <c r="BA33" s="371"/>
      <c r="BB33" s="81" t="s">
        <v>434</v>
      </c>
      <c r="BC33" s="81" t="s">
        <v>435</v>
      </c>
      <c r="BD33" s="84" t="s">
        <v>425</v>
      </c>
      <c r="BE33" s="83" t="s">
        <v>426</v>
      </c>
      <c r="BF33" s="83" t="s">
        <v>436</v>
      </c>
      <c r="BG33" s="81"/>
      <c r="BH33" s="81"/>
      <c r="BI33" s="84"/>
      <c r="BJ33" s="123"/>
    </row>
    <row r="34" spans="2:62" s="86" customFormat="1" ht="48.75" thickBot="1" x14ac:dyDescent="0.3">
      <c r="B34" s="378"/>
      <c r="C34" s="363"/>
      <c r="D34" s="375"/>
      <c r="E34" s="375"/>
      <c r="F34" s="363"/>
      <c r="G34" s="363"/>
      <c r="H34" s="375"/>
      <c r="I34" s="381"/>
      <c r="J34" s="381"/>
      <c r="K34" s="124"/>
      <c r="L34" s="354"/>
      <c r="M34" s="366"/>
      <c r="N34" s="363"/>
      <c r="O34" s="363"/>
      <c r="P34" s="366"/>
      <c r="Q34" s="372"/>
      <c r="R34" s="375"/>
      <c r="S34" s="375"/>
      <c r="T34" s="125"/>
      <c r="U34" s="126">
        <f t="shared" si="56"/>
        <v>0</v>
      </c>
      <c r="V34" s="125"/>
      <c r="W34" s="126">
        <f t="shared" si="57"/>
        <v>0</v>
      </c>
      <c r="X34" s="125"/>
      <c r="Y34" s="126">
        <f t="shared" si="58"/>
        <v>0</v>
      </c>
      <c r="Z34" s="125"/>
      <c r="AA34" s="126">
        <f t="shared" si="59"/>
        <v>0</v>
      </c>
      <c r="AB34" s="125"/>
      <c r="AC34" s="126">
        <f t="shared" si="60"/>
        <v>0</v>
      </c>
      <c r="AD34" s="125"/>
      <c r="AE34" s="126">
        <f t="shared" si="61"/>
        <v>0</v>
      </c>
      <c r="AF34" s="125"/>
      <c r="AG34" s="126">
        <f t="shared" si="62"/>
        <v>0</v>
      </c>
      <c r="AH34" s="127">
        <f t="shared" si="0"/>
        <v>0</v>
      </c>
      <c r="AI34" s="127" t="str">
        <f t="shared" si="66"/>
        <v/>
      </c>
      <c r="AJ34" s="128"/>
      <c r="AK34" s="127" t="str">
        <f t="shared" si="63"/>
        <v/>
      </c>
      <c r="AL34" s="127" t="str">
        <f t="shared" si="64"/>
        <v/>
      </c>
      <c r="AM34" s="127" t="str">
        <f>IFERROR(VLOOKUP(AL34,[5]FORMULAS!$B$69:$D$77,3,FALSE),"")</f>
        <v/>
      </c>
      <c r="AN34" s="127" t="str">
        <f t="shared" si="65"/>
        <v/>
      </c>
      <c r="AO34" s="127" t="str">
        <f>IFERROR(VLOOKUP(AL34,[5]FORMULAS!$B$69:$C$77,2,FALSE),"")</f>
        <v/>
      </c>
      <c r="AP34" s="360"/>
      <c r="AQ34" s="360"/>
      <c r="AR34" s="357"/>
      <c r="AS34" s="357"/>
      <c r="AT34" s="360"/>
      <c r="AU34" s="360"/>
      <c r="AV34" s="360"/>
      <c r="AW34" s="363"/>
      <c r="AX34" s="363"/>
      <c r="AY34" s="366"/>
      <c r="AZ34" s="369"/>
      <c r="BA34" s="372"/>
      <c r="BB34" s="161" t="s">
        <v>437</v>
      </c>
      <c r="BC34" s="161" t="s">
        <v>438</v>
      </c>
      <c r="BD34" s="139" t="s">
        <v>425</v>
      </c>
      <c r="BE34" s="162" t="s">
        <v>426</v>
      </c>
      <c r="BF34" s="162" t="s">
        <v>439</v>
      </c>
      <c r="BG34" s="139"/>
      <c r="BH34" s="139"/>
      <c r="BI34" s="139"/>
      <c r="BJ34" s="156"/>
    </row>
    <row r="35" spans="2:62" s="86" customFormat="1" ht="96" x14ac:dyDescent="0.25">
      <c r="B35" s="376" t="s">
        <v>72</v>
      </c>
      <c r="C35" s="361">
        <v>7</v>
      </c>
      <c r="D35" s="373" t="s">
        <v>444</v>
      </c>
      <c r="E35" s="405" t="s">
        <v>445</v>
      </c>
      <c r="F35" s="361" t="s">
        <v>89</v>
      </c>
      <c r="G35" s="361" t="s">
        <v>97</v>
      </c>
      <c r="H35" s="373" t="s">
        <v>329</v>
      </c>
      <c r="I35" s="379" t="s">
        <v>125</v>
      </c>
      <c r="J35" s="379" t="s">
        <v>108</v>
      </c>
      <c r="K35" s="164" t="s">
        <v>446</v>
      </c>
      <c r="L35" s="352" t="s">
        <v>447</v>
      </c>
      <c r="M35" s="364" t="str">
        <f>IF(F35="gestion","impacto",IF(F35="corrupcion","impactocorrupcion",IF(F35="seguridad_de_la_informacion","impacto","")))</f>
        <v>impacto</v>
      </c>
      <c r="N35" s="361" t="s">
        <v>135</v>
      </c>
      <c r="O35" s="361" t="s">
        <v>23</v>
      </c>
      <c r="P35" s="364" t="str">
        <f>N35&amp;O35</f>
        <v>Casi seguroModerado</v>
      </c>
      <c r="Q35" s="370" t="str">
        <f>IFERROR(VLOOKUP(P35,[5]FORMULAS!$B$37:$C$61,2,FALSE),"")</f>
        <v>Riesgo extremo</v>
      </c>
      <c r="R35" s="405" t="s">
        <v>448</v>
      </c>
      <c r="S35" s="405"/>
      <c r="T35" s="112" t="s">
        <v>286</v>
      </c>
      <c r="U35" s="113">
        <f>IF(T35="Asignado",15,0)</f>
        <v>15</v>
      </c>
      <c r="V35" s="112" t="s">
        <v>287</v>
      </c>
      <c r="W35" s="113">
        <f>IF(V35="Adecuado",15,0)</f>
        <v>15</v>
      </c>
      <c r="X35" s="112" t="s">
        <v>288</v>
      </c>
      <c r="Y35" s="113">
        <f>IF(X35="Oportuna",15,0)</f>
        <v>15</v>
      </c>
      <c r="Z35" s="112" t="s">
        <v>291</v>
      </c>
      <c r="AA35" s="113">
        <f>IF(Z35="Prevenir",15,IF(Z35="Detectar",10,0))</f>
        <v>15</v>
      </c>
      <c r="AB35" s="112" t="s">
        <v>290</v>
      </c>
      <c r="AC35" s="113">
        <f>IF(AB35="Confiable",15,0)</f>
        <v>15</v>
      </c>
      <c r="AD35" s="112" t="s">
        <v>292</v>
      </c>
      <c r="AE35" s="113">
        <f>IF(AD35="Se investigan y resuelven oportunamente",15,0)</f>
        <v>15</v>
      </c>
      <c r="AF35" s="112" t="s">
        <v>289</v>
      </c>
      <c r="AG35" s="113">
        <f>IF(AF35="Completa",10,IF(AF35="incompleta",5,0))</f>
        <v>10</v>
      </c>
      <c r="AH35" s="114">
        <f t="shared" si="0"/>
        <v>100</v>
      </c>
      <c r="AI35" s="114" t="str">
        <f>IF(AH35&gt;=96,"Fuerte",IF(AH35&gt;=86,"Moderado",IF(AH35&gt;=1,"Débil","")))</f>
        <v>Fuerte</v>
      </c>
      <c r="AJ35" s="115" t="s">
        <v>342</v>
      </c>
      <c r="AK35" s="114" t="str">
        <f>IF(AJ35="Siempre se ejecuta","Fuerte",IF(AJ35="Algunas veces","Moderado",IF(AJ35="no se ejecuta","Débil","")))</f>
        <v>Moderado</v>
      </c>
      <c r="AL35" s="114" t="str">
        <f>AI35&amp;AK35</f>
        <v>FuerteModerado</v>
      </c>
      <c r="AM35" s="114" t="str">
        <f>IFERROR(VLOOKUP(AL35,[5]FORMULAS!$B$69:$D$77,3,FALSE),"")</f>
        <v>Moderado</v>
      </c>
      <c r="AN35" s="114">
        <f>IF(AM35="fuerte",100,IF(AM35="Moderado",50,IF(AM35="débil",0,"")))</f>
        <v>50</v>
      </c>
      <c r="AO35" s="114" t="s">
        <v>29</v>
      </c>
      <c r="AP35" s="358">
        <f>IFERROR(AVERAGE(AN35:AN38),0)</f>
        <v>66.666666666666671</v>
      </c>
      <c r="AQ35" s="358" t="str">
        <f>IF(AP35&gt;=100,"Fuerte",IF(AP35&gt;=50,"Moderado",IF(AP35&gt;=1,"Débil","")))</f>
        <v>Moderado</v>
      </c>
      <c r="AR35" s="355" t="s">
        <v>160</v>
      </c>
      <c r="AS35" s="355" t="s">
        <v>162</v>
      </c>
      <c r="AT35" s="358" t="str">
        <f>+AQ35&amp;AR35&amp;AS35</f>
        <v>ModeradoDirectamenteIndirectamente</v>
      </c>
      <c r="AU35" s="358">
        <f>IFERROR(VLOOKUP(AT35,[5]FORMULAS!$B$94:$D$101,2,FALSE),0)</f>
        <v>1</v>
      </c>
      <c r="AV35" s="358">
        <f>IFERROR(VLOOKUP(AT35,[5]FORMULAS!$B$94:$D$101,3,FALSE),0)</f>
        <v>0</v>
      </c>
      <c r="AW35" s="361" t="s">
        <v>19</v>
      </c>
      <c r="AX35" s="361" t="s">
        <v>23</v>
      </c>
      <c r="AY35" s="364" t="str">
        <f>AW35&amp;AX35</f>
        <v>ProbableModerado</v>
      </c>
      <c r="AZ35" s="367" t="str">
        <f>IFERROR(VLOOKUP(AY35,[5]FORMULAS!$B$37:$C$61,2,FALSE),"")</f>
        <v>Riesgo alto</v>
      </c>
      <c r="BA35" s="370" t="s">
        <v>167</v>
      </c>
      <c r="BB35" s="153" t="s">
        <v>449</v>
      </c>
      <c r="BC35" s="153" t="s">
        <v>450</v>
      </c>
      <c r="BD35" s="119" t="s">
        <v>425</v>
      </c>
      <c r="BE35" s="160" t="s">
        <v>426</v>
      </c>
      <c r="BF35" s="160" t="s">
        <v>451</v>
      </c>
      <c r="BG35" s="119" t="s">
        <v>452</v>
      </c>
      <c r="BH35" s="153" t="s">
        <v>450</v>
      </c>
      <c r="BI35" s="119" t="s">
        <v>425</v>
      </c>
      <c r="BJ35" s="154" t="s">
        <v>453</v>
      </c>
    </row>
    <row r="36" spans="2:62" s="86" customFormat="1" ht="60" x14ac:dyDescent="0.25">
      <c r="B36" s="377"/>
      <c r="C36" s="362"/>
      <c r="D36" s="374"/>
      <c r="E36" s="406"/>
      <c r="F36" s="362"/>
      <c r="G36" s="362"/>
      <c r="H36" s="374"/>
      <c r="I36" s="380"/>
      <c r="J36" s="380"/>
      <c r="K36" s="100" t="s">
        <v>454</v>
      </c>
      <c r="L36" s="353"/>
      <c r="M36" s="365"/>
      <c r="N36" s="362"/>
      <c r="O36" s="362"/>
      <c r="P36" s="365"/>
      <c r="Q36" s="371"/>
      <c r="R36" s="374" t="s">
        <v>455</v>
      </c>
      <c r="S36" s="374"/>
      <c r="T36" s="96" t="s">
        <v>286</v>
      </c>
      <c r="U36" s="95">
        <f t="shared" ref="U36:U42" si="67">IF(T36="Asignado",15,0)</f>
        <v>15</v>
      </c>
      <c r="V36" s="96" t="s">
        <v>287</v>
      </c>
      <c r="W36" s="95">
        <f t="shared" ref="W36:W42" si="68">IF(V36="Adecuado",15,0)</f>
        <v>15</v>
      </c>
      <c r="X36" s="96" t="s">
        <v>288</v>
      </c>
      <c r="Y36" s="95">
        <f t="shared" ref="Y36:Y42" si="69">IF(X36="Oportuna",15,0)</f>
        <v>15</v>
      </c>
      <c r="Z36" s="96" t="s">
        <v>291</v>
      </c>
      <c r="AA36" s="95">
        <f t="shared" ref="AA36:AA42" si="70">IF(Z36="Prevenir",15,IF(Z36="Detectar",10,0))</f>
        <v>15</v>
      </c>
      <c r="AB36" s="96" t="s">
        <v>290</v>
      </c>
      <c r="AC36" s="95">
        <f t="shared" ref="AC36:AC42" si="71">IF(AB36="Confiable",15,0)</f>
        <v>15</v>
      </c>
      <c r="AD36" s="96" t="s">
        <v>292</v>
      </c>
      <c r="AE36" s="95">
        <f t="shared" ref="AE36:AE42" si="72">IF(AD36="Se investigan y resuelven oportunamente",15,0)</f>
        <v>15</v>
      </c>
      <c r="AF36" s="96" t="s">
        <v>289</v>
      </c>
      <c r="AG36" s="95">
        <f t="shared" ref="AG36:AG38" si="73">IF(AF36="Completa",10,IF(AF36="incompleta",5,0))</f>
        <v>10</v>
      </c>
      <c r="AH36" s="99">
        <f t="shared" si="0"/>
        <v>100</v>
      </c>
      <c r="AI36" s="99" t="str">
        <f>IF(AH36&gt;=96,"Fuerte",IF(AH36&gt;=86,"Moderado",IF(AH36&gt;=1,"Débil","")))</f>
        <v>Fuerte</v>
      </c>
      <c r="AJ36" s="98" t="s">
        <v>342</v>
      </c>
      <c r="AK36" s="99" t="str">
        <f t="shared" ref="AK36:AK38" si="74">IF(AJ36="Siempre se ejecuta","Fuerte",IF(AJ36="Algunas veces","Moderado",IF(AJ36="no se ejecuta","Débil","")))</f>
        <v>Moderado</v>
      </c>
      <c r="AL36" s="99" t="str">
        <f t="shared" ref="AL36:AL38" si="75">AI36&amp;AK36</f>
        <v>FuerteModerado</v>
      </c>
      <c r="AM36" s="99" t="str">
        <f>IFERROR(VLOOKUP(AL36,[5]FORMULAS!$B$69:$D$77,3,FALSE),"")</f>
        <v>Moderado</v>
      </c>
      <c r="AN36" s="99">
        <f t="shared" ref="AN36:AN38" si="76">IF(AM36="fuerte",100,IF(AM36="Moderado",50,IF(AM36="débil",0,"")))</f>
        <v>50</v>
      </c>
      <c r="AO36" s="99" t="s">
        <v>29</v>
      </c>
      <c r="AP36" s="359"/>
      <c r="AQ36" s="359"/>
      <c r="AR36" s="356"/>
      <c r="AS36" s="356"/>
      <c r="AT36" s="359"/>
      <c r="AU36" s="359"/>
      <c r="AV36" s="359"/>
      <c r="AW36" s="362"/>
      <c r="AX36" s="362"/>
      <c r="AY36" s="365"/>
      <c r="AZ36" s="368"/>
      <c r="BA36" s="371"/>
      <c r="BB36" s="81" t="s">
        <v>456</v>
      </c>
      <c r="BC36" s="81" t="s">
        <v>457</v>
      </c>
      <c r="BD36" s="84" t="s">
        <v>425</v>
      </c>
      <c r="BE36" s="83" t="s">
        <v>426</v>
      </c>
      <c r="BF36" s="83" t="s">
        <v>458</v>
      </c>
      <c r="BG36" s="84"/>
      <c r="BH36" s="84"/>
      <c r="BI36" s="84"/>
      <c r="BJ36" s="155"/>
    </row>
    <row r="37" spans="2:62" s="86" customFormat="1" ht="72" x14ac:dyDescent="0.25">
      <c r="B37" s="377"/>
      <c r="C37" s="362"/>
      <c r="D37" s="374"/>
      <c r="E37" s="406"/>
      <c r="F37" s="362"/>
      <c r="G37" s="362"/>
      <c r="H37" s="374"/>
      <c r="I37" s="380"/>
      <c r="J37" s="380"/>
      <c r="K37" s="100" t="s">
        <v>459</v>
      </c>
      <c r="L37" s="353"/>
      <c r="M37" s="365"/>
      <c r="N37" s="362"/>
      <c r="O37" s="362"/>
      <c r="P37" s="365"/>
      <c r="Q37" s="371"/>
      <c r="R37" s="406" t="s">
        <v>460</v>
      </c>
      <c r="S37" s="406"/>
      <c r="T37" s="96" t="s">
        <v>286</v>
      </c>
      <c r="U37" s="95">
        <f t="shared" si="67"/>
        <v>15</v>
      </c>
      <c r="V37" s="96" t="s">
        <v>287</v>
      </c>
      <c r="W37" s="95">
        <f t="shared" si="68"/>
        <v>15</v>
      </c>
      <c r="X37" s="96" t="s">
        <v>288</v>
      </c>
      <c r="Y37" s="95">
        <f t="shared" si="69"/>
        <v>15</v>
      </c>
      <c r="Z37" s="96" t="s">
        <v>291</v>
      </c>
      <c r="AA37" s="95">
        <f t="shared" si="70"/>
        <v>15</v>
      </c>
      <c r="AB37" s="96" t="s">
        <v>290</v>
      </c>
      <c r="AC37" s="95">
        <f t="shared" si="71"/>
        <v>15</v>
      </c>
      <c r="AD37" s="96" t="s">
        <v>292</v>
      </c>
      <c r="AE37" s="95">
        <f t="shared" si="72"/>
        <v>15</v>
      </c>
      <c r="AF37" s="96" t="s">
        <v>289</v>
      </c>
      <c r="AG37" s="95">
        <f t="shared" si="73"/>
        <v>10</v>
      </c>
      <c r="AH37" s="99">
        <f t="shared" si="0"/>
        <v>100</v>
      </c>
      <c r="AI37" s="99" t="str">
        <f t="shared" ref="AI37:AI38" si="77">IF(AH37&gt;=96,"Fuerte",IF(AH37&gt;=86,"Moderado",IF(AH37&gt;=1,"Débil","")))</f>
        <v>Fuerte</v>
      </c>
      <c r="AJ37" s="98" t="s">
        <v>293</v>
      </c>
      <c r="AK37" s="99" t="str">
        <f t="shared" si="74"/>
        <v>Fuerte</v>
      </c>
      <c r="AL37" s="99" t="str">
        <f t="shared" si="75"/>
        <v>FuerteFuerte</v>
      </c>
      <c r="AM37" s="99" t="str">
        <f>IFERROR(VLOOKUP(AL37,[5]FORMULAS!$B$69:$D$77,3,FALSE),"")</f>
        <v>Fuerte</v>
      </c>
      <c r="AN37" s="99">
        <f t="shared" si="76"/>
        <v>100</v>
      </c>
      <c r="AO37" s="99" t="str">
        <f>IFERROR(VLOOKUP(AL37,[5]FORMULAS!$B$69:$C$77,2,FALSE),"")</f>
        <v>No</v>
      </c>
      <c r="AP37" s="359"/>
      <c r="AQ37" s="359"/>
      <c r="AR37" s="356"/>
      <c r="AS37" s="356"/>
      <c r="AT37" s="359"/>
      <c r="AU37" s="359"/>
      <c r="AV37" s="359"/>
      <c r="AW37" s="362"/>
      <c r="AX37" s="362"/>
      <c r="AY37" s="365"/>
      <c r="AZ37" s="368"/>
      <c r="BA37" s="371"/>
      <c r="BB37" s="81" t="s">
        <v>461</v>
      </c>
      <c r="BC37" s="81" t="s">
        <v>462</v>
      </c>
      <c r="BD37" s="84" t="s">
        <v>425</v>
      </c>
      <c r="BE37" s="83" t="s">
        <v>426</v>
      </c>
      <c r="BF37" s="83" t="s">
        <v>463</v>
      </c>
      <c r="BG37" s="84"/>
      <c r="BH37" s="84"/>
      <c r="BI37" s="84"/>
      <c r="BJ37" s="155"/>
    </row>
    <row r="38" spans="2:62" s="86" customFormat="1" ht="12.75" thickBot="1" x14ac:dyDescent="0.3">
      <c r="B38" s="378"/>
      <c r="C38" s="363"/>
      <c r="D38" s="375"/>
      <c r="E38" s="490"/>
      <c r="F38" s="363"/>
      <c r="G38" s="363"/>
      <c r="H38" s="375"/>
      <c r="I38" s="381"/>
      <c r="J38" s="381"/>
      <c r="K38" s="124"/>
      <c r="L38" s="354"/>
      <c r="M38" s="366"/>
      <c r="N38" s="363"/>
      <c r="O38" s="363"/>
      <c r="P38" s="366"/>
      <c r="Q38" s="372"/>
      <c r="R38" s="375"/>
      <c r="S38" s="375"/>
      <c r="T38" s="125"/>
      <c r="U38" s="126">
        <f t="shared" si="67"/>
        <v>0</v>
      </c>
      <c r="V38" s="125"/>
      <c r="W38" s="126">
        <f t="shared" si="68"/>
        <v>0</v>
      </c>
      <c r="X38" s="125"/>
      <c r="Y38" s="126">
        <f t="shared" si="69"/>
        <v>0</v>
      </c>
      <c r="Z38" s="125"/>
      <c r="AA38" s="126">
        <f t="shared" si="70"/>
        <v>0</v>
      </c>
      <c r="AB38" s="125"/>
      <c r="AC38" s="126">
        <f t="shared" si="71"/>
        <v>0</v>
      </c>
      <c r="AD38" s="125"/>
      <c r="AE38" s="126">
        <f t="shared" si="72"/>
        <v>0</v>
      </c>
      <c r="AF38" s="125"/>
      <c r="AG38" s="126">
        <f t="shared" si="73"/>
        <v>0</v>
      </c>
      <c r="AH38" s="127">
        <f t="shared" si="0"/>
        <v>0</v>
      </c>
      <c r="AI38" s="127" t="str">
        <f t="shared" si="77"/>
        <v/>
      </c>
      <c r="AJ38" s="128"/>
      <c r="AK38" s="127" t="str">
        <f t="shared" si="74"/>
        <v/>
      </c>
      <c r="AL38" s="127" t="str">
        <f t="shared" si="75"/>
        <v/>
      </c>
      <c r="AM38" s="127" t="str">
        <f>IFERROR(VLOOKUP(AL38,[5]FORMULAS!$B$69:$D$77,3,FALSE),"")</f>
        <v/>
      </c>
      <c r="AN38" s="127" t="str">
        <f t="shared" si="76"/>
        <v/>
      </c>
      <c r="AO38" s="127" t="str">
        <f>IFERROR(VLOOKUP(AL38,[5]FORMULAS!$B$69:$C$77,2,FALSE),"")</f>
        <v/>
      </c>
      <c r="AP38" s="360"/>
      <c r="AQ38" s="360"/>
      <c r="AR38" s="357"/>
      <c r="AS38" s="357"/>
      <c r="AT38" s="360"/>
      <c r="AU38" s="360"/>
      <c r="AV38" s="360"/>
      <c r="AW38" s="363"/>
      <c r="AX38" s="363"/>
      <c r="AY38" s="366"/>
      <c r="AZ38" s="369"/>
      <c r="BA38" s="372"/>
      <c r="BB38" s="161"/>
      <c r="BC38" s="139"/>
      <c r="BD38" s="139"/>
      <c r="BE38" s="161"/>
      <c r="BF38" s="162"/>
      <c r="BG38" s="139"/>
      <c r="BH38" s="139"/>
      <c r="BI38" s="139"/>
      <c r="BJ38" s="156"/>
    </row>
    <row r="39" spans="2:62" s="86" customFormat="1" ht="72" x14ac:dyDescent="0.25">
      <c r="B39" s="376" t="s">
        <v>72</v>
      </c>
      <c r="C39" s="361">
        <v>8</v>
      </c>
      <c r="D39" s="373" t="s">
        <v>464</v>
      </c>
      <c r="E39" s="373" t="s">
        <v>465</v>
      </c>
      <c r="F39" s="361" t="s">
        <v>91</v>
      </c>
      <c r="G39" s="361" t="s">
        <v>101</v>
      </c>
      <c r="H39" s="373" t="s">
        <v>466</v>
      </c>
      <c r="I39" s="379" t="s">
        <v>129</v>
      </c>
      <c r="J39" s="379" t="s">
        <v>117</v>
      </c>
      <c r="K39" s="166" t="s">
        <v>467</v>
      </c>
      <c r="L39" s="164" t="s">
        <v>468</v>
      </c>
      <c r="M39" s="364" t="str">
        <f>IF(F39="gestion","impacto",IF(F39="corrupcion","impactocorrupcion",IF(F39="seguridad_de_la_informacion","impacto","")))</f>
        <v>impacto</v>
      </c>
      <c r="N39" s="361" t="s">
        <v>19</v>
      </c>
      <c r="O39" s="361" t="s">
        <v>23</v>
      </c>
      <c r="P39" s="364" t="str">
        <f>N39&amp;O39</f>
        <v>ProbableModerado</v>
      </c>
      <c r="Q39" s="370" t="str">
        <f>IFERROR(VLOOKUP(P39,[5]FORMULAS!$B$37:$C$61,2,FALSE),"")</f>
        <v>Riesgo alto</v>
      </c>
      <c r="R39" s="466" t="s">
        <v>469</v>
      </c>
      <c r="S39" s="467"/>
      <c r="T39" s="112" t="s">
        <v>286</v>
      </c>
      <c r="U39" s="113">
        <f t="shared" si="67"/>
        <v>15</v>
      </c>
      <c r="V39" s="112" t="s">
        <v>287</v>
      </c>
      <c r="W39" s="113">
        <f t="shared" si="68"/>
        <v>15</v>
      </c>
      <c r="X39" s="112" t="s">
        <v>288</v>
      </c>
      <c r="Y39" s="113">
        <f t="shared" si="69"/>
        <v>15</v>
      </c>
      <c r="Z39" s="112" t="s">
        <v>291</v>
      </c>
      <c r="AA39" s="113">
        <f t="shared" si="70"/>
        <v>15</v>
      </c>
      <c r="AB39" s="112" t="s">
        <v>290</v>
      </c>
      <c r="AC39" s="113">
        <f t="shared" si="71"/>
        <v>15</v>
      </c>
      <c r="AD39" s="112" t="s">
        <v>292</v>
      </c>
      <c r="AE39" s="113">
        <f t="shared" si="72"/>
        <v>15</v>
      </c>
      <c r="AF39" s="112" t="s">
        <v>289</v>
      </c>
      <c r="AG39" s="113">
        <f>IF(AF39="Completa",10,IF(AF39="incompleta",5,0))</f>
        <v>10</v>
      </c>
      <c r="AH39" s="114">
        <f>U39+W39+Y39+AA39+AC39+AE39+AG39</f>
        <v>100</v>
      </c>
      <c r="AI39" s="114" t="str">
        <f>IF(AH39&gt;=96,"Fuerte",IF(AH39&gt;=86,"Moderado",IF(AH39&gt;=1,"Débil","")))</f>
        <v>Fuerte</v>
      </c>
      <c r="AJ39" s="115" t="s">
        <v>293</v>
      </c>
      <c r="AK39" s="114" t="str">
        <f>IF(AJ39="Siempre se ejecuta","Fuerte",IF(AJ39="Algunas veces","Moderado",IF(AJ39="no se ejecuta","Débil","")))</f>
        <v>Fuerte</v>
      </c>
      <c r="AL39" s="114" t="str">
        <f>AI39&amp;AK39</f>
        <v>FuerteFuerte</v>
      </c>
      <c r="AM39" s="114" t="str">
        <f>IFERROR(VLOOKUP(AL39,[5]FORMULAS!$B$69:$D$77,3,FALSE),"")</f>
        <v>Fuerte</v>
      </c>
      <c r="AN39" s="114">
        <f>IF(AM39="fuerte",100,IF(AM39="Moderado",50,IF(AM39="débil",0,"")))</f>
        <v>100</v>
      </c>
      <c r="AO39" s="114" t="str">
        <f>IFERROR(VLOOKUP(AL39,[5]FORMULAS!$B$69:$D$77,2,FALSE),"")</f>
        <v>No</v>
      </c>
      <c r="AP39" s="358">
        <f>IFERROR(AVERAGE(AN39:AN42),0)</f>
        <v>100</v>
      </c>
      <c r="AQ39" s="358" t="str">
        <f>IF(AP39&gt;=100,"Fuerte",IF(AP39&gt;=50,"Moderado",IF(AP39&gt;=1,"Débil","")))</f>
        <v>Fuerte</v>
      </c>
      <c r="AR39" s="355" t="s">
        <v>161</v>
      </c>
      <c r="AS39" s="355" t="s">
        <v>160</v>
      </c>
      <c r="AT39" s="358" t="str">
        <f>+AQ39&amp;AR39&amp;AS39</f>
        <v>FuerteNo disminuyeDirectamente</v>
      </c>
      <c r="AU39" s="358">
        <f>IFERROR(VLOOKUP(AT39,[5]FORMULAS!$B$94:$D$101,2,FALSE),0)</f>
        <v>0</v>
      </c>
      <c r="AV39" s="358">
        <f>IFERROR(VLOOKUP(AT39,[5]FORMULAS!$B$94:$D$101,3,FALSE),0)</f>
        <v>2</v>
      </c>
      <c r="AW39" s="361" t="s">
        <v>19</v>
      </c>
      <c r="AX39" s="361" t="s">
        <v>22</v>
      </c>
      <c r="AY39" s="364" t="str">
        <f>AW39&amp;AX39</f>
        <v>ProbableMenor</v>
      </c>
      <c r="AZ39" s="367" t="str">
        <f>IFERROR(VLOOKUP(AY39,[5]FORMULAS!$B$37:$C$61,2,FALSE),"")</f>
        <v>Riesgo alto</v>
      </c>
      <c r="BA39" s="370" t="s">
        <v>167</v>
      </c>
      <c r="BB39" s="153" t="s">
        <v>470</v>
      </c>
      <c r="BC39" s="153" t="s">
        <v>471</v>
      </c>
      <c r="BD39" s="119" t="s">
        <v>425</v>
      </c>
      <c r="BE39" s="160" t="s">
        <v>426</v>
      </c>
      <c r="BF39" s="160" t="s">
        <v>472</v>
      </c>
      <c r="BG39" s="119" t="s">
        <v>473</v>
      </c>
      <c r="BH39" s="119" t="s">
        <v>474</v>
      </c>
      <c r="BI39" s="119" t="s">
        <v>425</v>
      </c>
      <c r="BJ39" s="154" t="s">
        <v>453</v>
      </c>
    </row>
    <row r="40" spans="2:62" s="86" customFormat="1" ht="60" x14ac:dyDescent="0.25">
      <c r="B40" s="377"/>
      <c r="C40" s="362"/>
      <c r="D40" s="374"/>
      <c r="E40" s="374"/>
      <c r="F40" s="362"/>
      <c r="G40" s="362"/>
      <c r="H40" s="374"/>
      <c r="I40" s="380"/>
      <c r="J40" s="380"/>
      <c r="K40" s="121"/>
      <c r="L40" s="100"/>
      <c r="M40" s="365"/>
      <c r="N40" s="362"/>
      <c r="O40" s="362"/>
      <c r="P40" s="365"/>
      <c r="Q40" s="371"/>
      <c r="R40" s="374"/>
      <c r="S40" s="374"/>
      <c r="T40" s="96"/>
      <c r="U40" s="95">
        <f t="shared" si="67"/>
        <v>0</v>
      </c>
      <c r="V40" s="96"/>
      <c r="W40" s="95">
        <f t="shared" si="68"/>
        <v>0</v>
      </c>
      <c r="X40" s="96"/>
      <c r="Y40" s="95">
        <f t="shared" si="69"/>
        <v>0</v>
      </c>
      <c r="Z40" s="96"/>
      <c r="AA40" s="95">
        <f t="shared" si="70"/>
        <v>0</v>
      </c>
      <c r="AB40" s="96"/>
      <c r="AC40" s="95">
        <f t="shared" si="71"/>
        <v>0</v>
      </c>
      <c r="AD40" s="96"/>
      <c r="AE40" s="95">
        <f t="shared" si="72"/>
        <v>0</v>
      </c>
      <c r="AF40" s="96"/>
      <c r="AG40" s="95">
        <f t="shared" ref="AG40:AG42" si="78">IF(AF40="Completa",10,IF(AF40="incompleta",5,0))</f>
        <v>0</v>
      </c>
      <c r="AH40" s="99">
        <f t="shared" ref="AH40:AH60" si="79">U40+W40+Y40+AA40+AC40+AE40+AG40</f>
        <v>0</v>
      </c>
      <c r="AI40" s="99" t="str">
        <f>IF(AH40&gt;=96,"Fuerte",IF(AH40&gt;=86,"Moderado",IF(AH40&gt;=1,"Débil","")))</f>
        <v/>
      </c>
      <c r="AJ40" s="98"/>
      <c r="AK40" s="99" t="str">
        <f t="shared" ref="AK40:AK42" si="80">IF(AJ40="Siempre se ejecuta","Fuerte",IF(AJ40="Algunas veces","Moderado",IF(AJ40="no se ejecuta","Débil","")))</f>
        <v/>
      </c>
      <c r="AL40" s="99" t="str">
        <f t="shared" ref="AL40:AL42" si="81">AI40&amp;AK40</f>
        <v/>
      </c>
      <c r="AM40" s="99" t="str">
        <f>IFERROR(VLOOKUP(AL40,[5]FORMULAS!$B$69:$D$77,3,FALSE),"")</f>
        <v/>
      </c>
      <c r="AN40" s="99" t="str">
        <f t="shared" ref="AN40:AN42" si="82">IF(AM40="fuerte",100,IF(AM40="Moderado",50,IF(AM40="débil",0,"")))</f>
        <v/>
      </c>
      <c r="AO40" s="99" t="str">
        <f>IFERROR(VLOOKUP(AL40,[5]FORMULAS!$B$69:$C$77,2,FALSE),"")</f>
        <v/>
      </c>
      <c r="AP40" s="359"/>
      <c r="AQ40" s="359"/>
      <c r="AR40" s="356"/>
      <c r="AS40" s="356"/>
      <c r="AT40" s="359"/>
      <c r="AU40" s="359"/>
      <c r="AV40" s="359"/>
      <c r="AW40" s="362"/>
      <c r="AX40" s="362"/>
      <c r="AY40" s="365"/>
      <c r="AZ40" s="368"/>
      <c r="BA40" s="371"/>
      <c r="BB40" s="81" t="s">
        <v>475</v>
      </c>
      <c r="BC40" s="81" t="s">
        <v>431</v>
      </c>
      <c r="BD40" s="84" t="s">
        <v>425</v>
      </c>
      <c r="BE40" s="83" t="s">
        <v>426</v>
      </c>
      <c r="BF40" s="83" t="s">
        <v>476</v>
      </c>
      <c r="BG40" s="163" t="s">
        <v>477</v>
      </c>
      <c r="BH40" s="84" t="s">
        <v>478</v>
      </c>
      <c r="BI40" s="84" t="s">
        <v>425</v>
      </c>
      <c r="BJ40" s="155" t="s">
        <v>479</v>
      </c>
    </row>
    <row r="41" spans="2:62" s="86" customFormat="1" ht="12" x14ac:dyDescent="0.25">
      <c r="B41" s="377"/>
      <c r="C41" s="362"/>
      <c r="D41" s="374"/>
      <c r="E41" s="374"/>
      <c r="F41" s="362"/>
      <c r="G41" s="362"/>
      <c r="H41" s="374"/>
      <c r="I41" s="380"/>
      <c r="J41" s="380"/>
      <c r="K41" s="80"/>
      <c r="L41" s="100"/>
      <c r="M41" s="365"/>
      <c r="N41" s="362"/>
      <c r="O41" s="362"/>
      <c r="P41" s="365"/>
      <c r="Q41" s="371"/>
      <c r="R41" s="374"/>
      <c r="S41" s="374"/>
      <c r="T41" s="96"/>
      <c r="U41" s="95">
        <f t="shared" si="67"/>
        <v>0</v>
      </c>
      <c r="V41" s="96"/>
      <c r="W41" s="95">
        <f t="shared" si="68"/>
        <v>0</v>
      </c>
      <c r="X41" s="96"/>
      <c r="Y41" s="95">
        <f t="shared" si="69"/>
        <v>0</v>
      </c>
      <c r="Z41" s="96"/>
      <c r="AA41" s="95">
        <f t="shared" si="70"/>
        <v>0</v>
      </c>
      <c r="AB41" s="96"/>
      <c r="AC41" s="95">
        <f t="shared" si="71"/>
        <v>0</v>
      </c>
      <c r="AD41" s="96"/>
      <c r="AE41" s="95">
        <f t="shared" si="72"/>
        <v>0</v>
      </c>
      <c r="AF41" s="96"/>
      <c r="AG41" s="95">
        <f t="shared" si="78"/>
        <v>0</v>
      </c>
      <c r="AH41" s="99">
        <f t="shared" si="79"/>
        <v>0</v>
      </c>
      <c r="AI41" s="99" t="str">
        <f t="shared" ref="AI41:AI42" si="83">IF(AH41&gt;=96,"Fuerte",IF(AH41&gt;=86,"Moderado",IF(AH41&gt;=1,"Débil","")))</f>
        <v/>
      </c>
      <c r="AJ41" s="98"/>
      <c r="AK41" s="99" t="str">
        <f t="shared" si="80"/>
        <v/>
      </c>
      <c r="AL41" s="99" t="str">
        <f t="shared" si="81"/>
        <v/>
      </c>
      <c r="AM41" s="99" t="str">
        <f>IFERROR(VLOOKUP(AL41,[5]FORMULAS!$B$69:$D$77,3,FALSE),"")</f>
        <v/>
      </c>
      <c r="AN41" s="99" t="str">
        <f t="shared" si="82"/>
        <v/>
      </c>
      <c r="AO41" s="99" t="str">
        <f>IFERROR(VLOOKUP(AL41,[5]FORMULAS!$B$69:$C$77,2,FALSE),"")</f>
        <v/>
      </c>
      <c r="AP41" s="359"/>
      <c r="AQ41" s="359"/>
      <c r="AR41" s="356"/>
      <c r="AS41" s="356"/>
      <c r="AT41" s="359"/>
      <c r="AU41" s="359"/>
      <c r="AV41" s="359"/>
      <c r="AW41" s="362"/>
      <c r="AX41" s="362"/>
      <c r="AY41" s="365"/>
      <c r="AZ41" s="368"/>
      <c r="BA41" s="371"/>
      <c r="BB41" s="81"/>
      <c r="BC41" s="84"/>
      <c r="BD41" s="84"/>
      <c r="BE41" s="83"/>
      <c r="BF41" s="83"/>
      <c r="BG41" s="84"/>
      <c r="BH41" s="84"/>
      <c r="BI41" s="84"/>
      <c r="BJ41" s="155"/>
    </row>
    <row r="42" spans="2:62" s="86" customFormat="1" ht="12.75" thickBot="1" x14ac:dyDescent="0.3">
      <c r="B42" s="378"/>
      <c r="C42" s="363"/>
      <c r="D42" s="375"/>
      <c r="E42" s="375"/>
      <c r="F42" s="363"/>
      <c r="G42" s="363"/>
      <c r="H42" s="375"/>
      <c r="I42" s="381"/>
      <c r="J42" s="381"/>
      <c r="K42" s="124"/>
      <c r="L42" s="167"/>
      <c r="M42" s="366"/>
      <c r="N42" s="363"/>
      <c r="O42" s="363"/>
      <c r="P42" s="366"/>
      <c r="Q42" s="372"/>
      <c r="R42" s="375"/>
      <c r="S42" s="375"/>
      <c r="T42" s="125"/>
      <c r="U42" s="126">
        <f t="shared" si="67"/>
        <v>0</v>
      </c>
      <c r="V42" s="125"/>
      <c r="W42" s="126">
        <f t="shared" si="68"/>
        <v>0</v>
      </c>
      <c r="X42" s="125"/>
      <c r="Y42" s="126">
        <f t="shared" si="69"/>
        <v>0</v>
      </c>
      <c r="Z42" s="125"/>
      <c r="AA42" s="126">
        <f t="shared" si="70"/>
        <v>0</v>
      </c>
      <c r="AB42" s="125"/>
      <c r="AC42" s="126">
        <f t="shared" si="71"/>
        <v>0</v>
      </c>
      <c r="AD42" s="125"/>
      <c r="AE42" s="126">
        <f t="shared" si="72"/>
        <v>0</v>
      </c>
      <c r="AF42" s="125"/>
      <c r="AG42" s="126">
        <f t="shared" si="78"/>
        <v>0</v>
      </c>
      <c r="AH42" s="127">
        <f t="shared" si="79"/>
        <v>0</v>
      </c>
      <c r="AI42" s="127" t="str">
        <f t="shared" si="83"/>
        <v/>
      </c>
      <c r="AJ42" s="128"/>
      <c r="AK42" s="127" t="str">
        <f t="shared" si="80"/>
        <v/>
      </c>
      <c r="AL42" s="127" t="str">
        <f t="shared" si="81"/>
        <v/>
      </c>
      <c r="AM42" s="127" t="str">
        <f>IFERROR(VLOOKUP(AL42,[5]FORMULAS!$B$69:$D$77,3,FALSE),"")</f>
        <v/>
      </c>
      <c r="AN42" s="127" t="str">
        <f t="shared" si="82"/>
        <v/>
      </c>
      <c r="AO42" s="127" t="str">
        <f>IFERROR(VLOOKUP(AL42,[5]FORMULAS!$B$69:$C$77,2,FALSE),"")</f>
        <v/>
      </c>
      <c r="AP42" s="360"/>
      <c r="AQ42" s="360"/>
      <c r="AR42" s="357"/>
      <c r="AS42" s="357"/>
      <c r="AT42" s="360"/>
      <c r="AU42" s="360"/>
      <c r="AV42" s="360"/>
      <c r="AW42" s="363"/>
      <c r="AX42" s="363"/>
      <c r="AY42" s="366"/>
      <c r="AZ42" s="369"/>
      <c r="BA42" s="372"/>
      <c r="BB42" s="161"/>
      <c r="BC42" s="139"/>
      <c r="BD42" s="139"/>
      <c r="BE42" s="161"/>
      <c r="BF42" s="162"/>
      <c r="BG42" s="139"/>
      <c r="BH42" s="139"/>
      <c r="BI42" s="139"/>
      <c r="BJ42" s="156"/>
    </row>
    <row r="43" spans="2:62" s="86" customFormat="1" ht="132" x14ac:dyDescent="0.25">
      <c r="B43" s="376" t="s">
        <v>72</v>
      </c>
      <c r="C43" s="361">
        <v>9</v>
      </c>
      <c r="D43" s="373" t="s">
        <v>480</v>
      </c>
      <c r="E43" s="373" t="s">
        <v>481</v>
      </c>
      <c r="F43" s="361" t="s">
        <v>89</v>
      </c>
      <c r="G43" s="361" t="s">
        <v>97</v>
      </c>
      <c r="H43" s="373" t="s">
        <v>329</v>
      </c>
      <c r="I43" s="379" t="s">
        <v>128</v>
      </c>
      <c r="J43" s="379" t="s">
        <v>109</v>
      </c>
      <c r="K43" s="109" t="s">
        <v>482</v>
      </c>
      <c r="L43" s="109" t="s">
        <v>483</v>
      </c>
      <c r="M43" s="364" t="str">
        <f>IF(F43="gestion","impacto",IF(F43="corrupcion","impactocorrupcion",IF(F43="seguridad_de_la_informacion","impacto","")))</f>
        <v>impacto</v>
      </c>
      <c r="N43" s="361" t="s">
        <v>135</v>
      </c>
      <c r="O43" s="361" t="s">
        <v>22</v>
      </c>
      <c r="P43" s="364" t="str">
        <f>N43&amp;O43</f>
        <v>Casi seguroMenor</v>
      </c>
      <c r="Q43" s="370" t="str">
        <f>IFERROR(VLOOKUP(P43,[6]FORMULAS!$B$37:$C$61,2,FALSE),"")</f>
        <v>Riesgo alto</v>
      </c>
      <c r="R43" s="405" t="s">
        <v>484</v>
      </c>
      <c r="S43" s="405"/>
      <c r="T43" s="112" t="s">
        <v>286</v>
      </c>
      <c r="U43" s="113">
        <f>IF(T43="Asignado",15,0)</f>
        <v>15</v>
      </c>
      <c r="V43" s="112" t="s">
        <v>287</v>
      </c>
      <c r="W43" s="113">
        <f>IF(V43="Adecuado",15,0)</f>
        <v>15</v>
      </c>
      <c r="X43" s="112" t="s">
        <v>288</v>
      </c>
      <c r="Y43" s="113">
        <f>IF(X43="Oportuna",15,0)</f>
        <v>15</v>
      </c>
      <c r="Z43" s="112" t="s">
        <v>341</v>
      </c>
      <c r="AA43" s="113">
        <f>IF(Z43="Prevenir",15,IF(Z43="Detectar",10,0))</f>
        <v>10</v>
      </c>
      <c r="AB43" s="112" t="s">
        <v>290</v>
      </c>
      <c r="AC43" s="113">
        <f>IF(AB43="Confiable",15,0)</f>
        <v>15</v>
      </c>
      <c r="AD43" s="112" t="s">
        <v>292</v>
      </c>
      <c r="AE43" s="113">
        <f>IF(AD43="Se investigan y resuelven oportunamente",15,0)</f>
        <v>15</v>
      </c>
      <c r="AF43" s="112" t="s">
        <v>289</v>
      </c>
      <c r="AG43" s="113">
        <f>IF(AF43="Completa",10,IF(AF43="incompleta",5,0))</f>
        <v>10</v>
      </c>
      <c r="AH43" s="114">
        <f t="shared" si="79"/>
        <v>95</v>
      </c>
      <c r="AI43" s="114" t="str">
        <f>IF(AH43&gt;=96,"Fuerte",IF(AH43&gt;=86,"Moderado",IF(AH43&gt;=1,"Débil","")))</f>
        <v>Moderado</v>
      </c>
      <c r="AJ43" s="115" t="s">
        <v>293</v>
      </c>
      <c r="AK43" s="114" t="str">
        <f>IF(AJ43="Siempre se ejecuta","Fuerte",IF(AJ43="Algunas veces","Moderado",IF(AJ43="no se ejecuta","Débil","")))</f>
        <v>Fuerte</v>
      </c>
      <c r="AL43" s="114" t="str">
        <f>AI43&amp;AK43</f>
        <v>ModeradoFuerte</v>
      </c>
      <c r="AM43" s="114" t="str">
        <f>IFERROR(VLOOKUP(AL43,[6]FORMULAS!$B$69:$D$77,3,FALSE),"")</f>
        <v>Moderado</v>
      </c>
      <c r="AN43" s="114">
        <f>IF(AM43="fuerte",100,IF(AM43="Moderado",50,IF(AM43="débil",0,"")))</f>
        <v>50</v>
      </c>
      <c r="AO43" s="114" t="str">
        <f>IFERROR(VLOOKUP(AL43,[6]FORMULAS!$B$69:$D$77,2,FALSE),"")</f>
        <v>Sí</v>
      </c>
      <c r="AP43" s="358">
        <f>IFERROR(AVERAGE(AN43:AN46),0)</f>
        <v>75</v>
      </c>
      <c r="AQ43" s="358" t="str">
        <f>IF(AP43&gt;=100,"Fuerte",IF(AP43&gt;=50,"Moderado",IF(AP43&gt;=1,"Débil","")))</f>
        <v>Moderado</v>
      </c>
      <c r="AR43" s="355" t="s">
        <v>160</v>
      </c>
      <c r="AS43" s="355" t="s">
        <v>162</v>
      </c>
      <c r="AT43" s="358" t="str">
        <f>+AQ43&amp;AR43&amp;AS43</f>
        <v>ModeradoDirectamenteIndirectamente</v>
      </c>
      <c r="AU43" s="358">
        <f>IFERROR(VLOOKUP(AT43,[6]FORMULAS!$B$94:$D$101,2,FALSE),0)</f>
        <v>1</v>
      </c>
      <c r="AV43" s="358">
        <f>IFERROR(VLOOKUP(AT43,[6]FORMULAS!$B$94:$D$101,3,FALSE),0)</f>
        <v>0</v>
      </c>
      <c r="AW43" s="361" t="s">
        <v>134</v>
      </c>
      <c r="AX43" s="361" t="s">
        <v>23</v>
      </c>
      <c r="AY43" s="364" t="str">
        <f>AW43&amp;AX43</f>
        <v>Rara vezModerado</v>
      </c>
      <c r="AZ43" s="367" t="str">
        <f>IFERROR(VLOOKUP(AY43,[6]FORMULAS!$B$37:$C$61,2,FALSE),"")</f>
        <v>Riesgo moderado</v>
      </c>
      <c r="BA43" s="370" t="s">
        <v>167</v>
      </c>
      <c r="BB43" s="168" t="s">
        <v>485</v>
      </c>
      <c r="BC43" s="119" t="s">
        <v>486</v>
      </c>
      <c r="BD43" s="119" t="s">
        <v>333</v>
      </c>
      <c r="BE43" s="160" t="s">
        <v>426</v>
      </c>
      <c r="BF43" s="160"/>
      <c r="BG43" s="119" t="s">
        <v>487</v>
      </c>
      <c r="BH43" s="119" t="s">
        <v>488</v>
      </c>
      <c r="BI43" s="119" t="s">
        <v>368</v>
      </c>
      <c r="BJ43" s="154" t="s">
        <v>489</v>
      </c>
    </row>
    <row r="44" spans="2:62" s="86" customFormat="1" ht="72" x14ac:dyDescent="0.25">
      <c r="B44" s="377"/>
      <c r="C44" s="362"/>
      <c r="D44" s="374"/>
      <c r="E44" s="374"/>
      <c r="F44" s="362"/>
      <c r="G44" s="362"/>
      <c r="H44" s="374"/>
      <c r="I44" s="380"/>
      <c r="J44" s="380"/>
      <c r="K44" s="121" t="s">
        <v>490</v>
      </c>
      <c r="L44" s="121" t="s">
        <v>491</v>
      </c>
      <c r="M44" s="365"/>
      <c r="N44" s="362"/>
      <c r="O44" s="362"/>
      <c r="P44" s="365"/>
      <c r="Q44" s="371"/>
      <c r="R44" s="406" t="s">
        <v>492</v>
      </c>
      <c r="S44" s="406"/>
      <c r="T44" s="96" t="s">
        <v>286</v>
      </c>
      <c r="U44" s="95">
        <f t="shared" ref="U44:U46" si="84">IF(T44="Asignado",15,0)</f>
        <v>15</v>
      </c>
      <c r="V44" s="96" t="s">
        <v>287</v>
      </c>
      <c r="W44" s="95">
        <f t="shared" ref="W44:W46" si="85">IF(V44="Adecuado",15,0)</f>
        <v>15</v>
      </c>
      <c r="X44" s="96" t="s">
        <v>288</v>
      </c>
      <c r="Y44" s="95">
        <f t="shared" ref="Y44:Y46" si="86">IF(X44="Oportuna",15,0)</f>
        <v>15</v>
      </c>
      <c r="Z44" s="96" t="s">
        <v>291</v>
      </c>
      <c r="AA44" s="95">
        <f t="shared" ref="AA44:AA46" si="87">IF(Z44="Prevenir",15,IF(Z44="Detectar",10,0))</f>
        <v>15</v>
      </c>
      <c r="AB44" s="96" t="s">
        <v>290</v>
      </c>
      <c r="AC44" s="95">
        <f t="shared" ref="AC44:AC46" si="88">IF(AB44="Confiable",15,0)</f>
        <v>15</v>
      </c>
      <c r="AD44" s="96" t="s">
        <v>292</v>
      </c>
      <c r="AE44" s="95">
        <f t="shared" ref="AE44:AE46" si="89">IF(AD44="Se investigan y resuelven oportunamente",15,0)</f>
        <v>15</v>
      </c>
      <c r="AF44" s="96" t="s">
        <v>289</v>
      </c>
      <c r="AG44" s="95">
        <f t="shared" ref="AG44:AG48" si="90">IF(AF44="Completa",10,IF(AF44="incompleta",5,0))</f>
        <v>10</v>
      </c>
      <c r="AH44" s="99">
        <f t="shared" si="79"/>
        <v>100</v>
      </c>
      <c r="AI44" s="99" t="str">
        <f>IF(AH44&gt;=96,"Fuerte",IF(AH44&gt;=86,"Moderado",IF(AH44&gt;=1,"Débil","")))</f>
        <v>Fuerte</v>
      </c>
      <c r="AJ44" s="98" t="s">
        <v>293</v>
      </c>
      <c r="AK44" s="99" t="str">
        <f t="shared" ref="AK44:AK48" si="91">IF(AJ44="Siempre se ejecuta","Fuerte",IF(AJ44="Algunas veces","Moderado",IF(AJ44="no se ejecuta","Débil","")))</f>
        <v>Fuerte</v>
      </c>
      <c r="AL44" s="99" t="str">
        <f t="shared" ref="AL44:AL48" si="92">AI44&amp;AK44</f>
        <v>FuerteFuerte</v>
      </c>
      <c r="AM44" s="99" t="str">
        <f>IFERROR(VLOOKUP(AL44,[6]FORMULAS!$B$69:$D$77,3,FALSE),"")</f>
        <v>Fuerte</v>
      </c>
      <c r="AN44" s="99">
        <f t="shared" ref="AN44:AN48" si="93">IF(AM44="fuerte",100,IF(AM44="Moderado",50,IF(AM44="débil",0,"")))</f>
        <v>100</v>
      </c>
      <c r="AO44" s="99" t="str">
        <f>IFERROR(VLOOKUP(AL44,[6]FORMULAS!$B$69:$C$77,2,FALSE),"")</f>
        <v>No</v>
      </c>
      <c r="AP44" s="359"/>
      <c r="AQ44" s="359"/>
      <c r="AR44" s="356"/>
      <c r="AS44" s="356"/>
      <c r="AT44" s="359"/>
      <c r="AU44" s="359"/>
      <c r="AV44" s="359"/>
      <c r="AW44" s="362"/>
      <c r="AX44" s="362"/>
      <c r="AY44" s="365"/>
      <c r="AZ44" s="368"/>
      <c r="BA44" s="371"/>
      <c r="BB44" s="81" t="s">
        <v>493</v>
      </c>
      <c r="BC44" s="84" t="s">
        <v>494</v>
      </c>
      <c r="BD44" s="84" t="s">
        <v>333</v>
      </c>
      <c r="BE44" s="83" t="s">
        <v>426</v>
      </c>
      <c r="BF44" s="83"/>
      <c r="BG44" s="84"/>
      <c r="BH44" s="84"/>
      <c r="BI44" s="84"/>
      <c r="BJ44" s="155"/>
    </row>
    <row r="45" spans="2:62" s="86" customFormat="1" ht="48" x14ac:dyDescent="0.25">
      <c r="B45" s="377"/>
      <c r="C45" s="362"/>
      <c r="D45" s="374"/>
      <c r="E45" s="374"/>
      <c r="F45" s="362"/>
      <c r="G45" s="362"/>
      <c r="H45" s="374"/>
      <c r="I45" s="380"/>
      <c r="J45" s="380"/>
      <c r="K45" s="121"/>
      <c r="L45" s="121"/>
      <c r="M45" s="365"/>
      <c r="N45" s="362"/>
      <c r="O45" s="362"/>
      <c r="P45" s="365"/>
      <c r="Q45" s="371"/>
      <c r="R45" s="374"/>
      <c r="S45" s="374"/>
      <c r="T45" s="96"/>
      <c r="U45" s="95">
        <f t="shared" si="84"/>
        <v>0</v>
      </c>
      <c r="V45" s="96"/>
      <c r="W45" s="95">
        <f t="shared" si="85"/>
        <v>0</v>
      </c>
      <c r="X45" s="96"/>
      <c r="Y45" s="95">
        <f t="shared" si="86"/>
        <v>0</v>
      </c>
      <c r="Z45" s="96"/>
      <c r="AA45" s="95">
        <f t="shared" si="87"/>
        <v>0</v>
      </c>
      <c r="AB45" s="96"/>
      <c r="AC45" s="95">
        <f t="shared" si="88"/>
        <v>0</v>
      </c>
      <c r="AD45" s="96"/>
      <c r="AE45" s="95">
        <f t="shared" si="89"/>
        <v>0</v>
      </c>
      <c r="AF45" s="96"/>
      <c r="AG45" s="95">
        <f t="shared" si="90"/>
        <v>0</v>
      </c>
      <c r="AH45" s="99">
        <f t="shared" si="79"/>
        <v>0</v>
      </c>
      <c r="AI45" s="99" t="str">
        <f t="shared" ref="AI45:AI48" si="94">IF(AH45&gt;=96,"Fuerte",IF(AH45&gt;=86,"Moderado",IF(AH45&gt;=1,"Débil","")))</f>
        <v/>
      </c>
      <c r="AJ45" s="98"/>
      <c r="AK45" s="99" t="str">
        <f t="shared" si="91"/>
        <v/>
      </c>
      <c r="AL45" s="99" t="str">
        <f t="shared" si="92"/>
        <v/>
      </c>
      <c r="AM45" s="99" t="str">
        <f>IFERROR(VLOOKUP(AL45,[6]FORMULAS!$B$69:$D$77,3,FALSE),"")</f>
        <v/>
      </c>
      <c r="AN45" s="99" t="str">
        <f t="shared" si="93"/>
        <v/>
      </c>
      <c r="AO45" s="99" t="str">
        <f>IFERROR(VLOOKUP(AL45,[6]FORMULAS!$B$69:$C$77,2,FALSE),"")</f>
        <v/>
      </c>
      <c r="AP45" s="359"/>
      <c r="AQ45" s="359"/>
      <c r="AR45" s="356"/>
      <c r="AS45" s="356"/>
      <c r="AT45" s="359"/>
      <c r="AU45" s="359"/>
      <c r="AV45" s="359"/>
      <c r="AW45" s="362"/>
      <c r="AX45" s="362"/>
      <c r="AY45" s="365"/>
      <c r="AZ45" s="368"/>
      <c r="BA45" s="371"/>
      <c r="BB45" s="81" t="s">
        <v>495</v>
      </c>
      <c r="BC45" s="84" t="s">
        <v>496</v>
      </c>
      <c r="BD45" s="84" t="s">
        <v>333</v>
      </c>
      <c r="BE45" s="83" t="s">
        <v>426</v>
      </c>
      <c r="BF45" s="83"/>
      <c r="BG45" s="84"/>
      <c r="BH45" s="84"/>
      <c r="BI45" s="84"/>
      <c r="BJ45" s="155"/>
    </row>
    <row r="46" spans="2:62" s="86" customFormat="1" ht="12.75" thickBot="1" x14ac:dyDescent="0.3">
      <c r="B46" s="378"/>
      <c r="C46" s="363"/>
      <c r="D46" s="375"/>
      <c r="E46" s="375"/>
      <c r="F46" s="363"/>
      <c r="G46" s="363"/>
      <c r="H46" s="375"/>
      <c r="I46" s="381"/>
      <c r="J46" s="381"/>
      <c r="K46" s="124"/>
      <c r="L46" s="124"/>
      <c r="M46" s="366"/>
      <c r="N46" s="363"/>
      <c r="O46" s="363"/>
      <c r="P46" s="366"/>
      <c r="Q46" s="372"/>
      <c r="R46" s="375"/>
      <c r="S46" s="375"/>
      <c r="T46" s="125"/>
      <c r="U46" s="126">
        <f t="shared" si="84"/>
        <v>0</v>
      </c>
      <c r="V46" s="125"/>
      <c r="W46" s="126">
        <f t="shared" si="85"/>
        <v>0</v>
      </c>
      <c r="X46" s="125"/>
      <c r="Y46" s="126">
        <f t="shared" si="86"/>
        <v>0</v>
      </c>
      <c r="Z46" s="125"/>
      <c r="AA46" s="126">
        <f t="shared" si="87"/>
        <v>0</v>
      </c>
      <c r="AB46" s="125"/>
      <c r="AC46" s="126">
        <f t="shared" si="88"/>
        <v>0</v>
      </c>
      <c r="AD46" s="125"/>
      <c r="AE46" s="126">
        <f t="shared" si="89"/>
        <v>0</v>
      </c>
      <c r="AF46" s="125"/>
      <c r="AG46" s="126">
        <f t="shared" si="90"/>
        <v>0</v>
      </c>
      <c r="AH46" s="127">
        <f t="shared" si="79"/>
        <v>0</v>
      </c>
      <c r="AI46" s="127" t="str">
        <f t="shared" si="94"/>
        <v/>
      </c>
      <c r="AJ46" s="128"/>
      <c r="AK46" s="127" t="str">
        <f t="shared" si="91"/>
        <v/>
      </c>
      <c r="AL46" s="127" t="str">
        <f t="shared" si="92"/>
        <v/>
      </c>
      <c r="AM46" s="127" t="str">
        <f>IFERROR(VLOOKUP(AL46,[6]FORMULAS!$B$69:$D$77,3,FALSE),"")</f>
        <v/>
      </c>
      <c r="AN46" s="127" t="str">
        <f t="shared" si="93"/>
        <v/>
      </c>
      <c r="AO46" s="127" t="str">
        <f>IFERROR(VLOOKUP(AL46,[6]FORMULAS!$B$69:$C$77,2,FALSE),"")</f>
        <v/>
      </c>
      <c r="AP46" s="360"/>
      <c r="AQ46" s="360"/>
      <c r="AR46" s="357"/>
      <c r="AS46" s="357"/>
      <c r="AT46" s="360"/>
      <c r="AU46" s="360"/>
      <c r="AV46" s="360"/>
      <c r="AW46" s="363"/>
      <c r="AX46" s="363"/>
      <c r="AY46" s="366"/>
      <c r="AZ46" s="369"/>
      <c r="BA46" s="372"/>
      <c r="BB46" s="161"/>
      <c r="BC46" s="139"/>
      <c r="BD46" s="139"/>
      <c r="BE46" s="161"/>
      <c r="BF46" s="162"/>
      <c r="BG46" s="139"/>
      <c r="BH46" s="139"/>
      <c r="BI46" s="139"/>
      <c r="BJ46" s="156"/>
    </row>
    <row r="47" spans="2:62" s="86" customFormat="1" ht="24" x14ac:dyDescent="0.25">
      <c r="B47" s="407" t="s">
        <v>73</v>
      </c>
      <c r="C47" s="481">
        <v>10</v>
      </c>
      <c r="D47" s="405" t="s">
        <v>497</v>
      </c>
      <c r="E47" s="405" t="s">
        <v>498</v>
      </c>
      <c r="F47" s="481" t="s">
        <v>348</v>
      </c>
      <c r="G47" s="481" t="s">
        <v>96</v>
      </c>
      <c r="H47" s="405" t="s">
        <v>329</v>
      </c>
      <c r="I47" s="485"/>
      <c r="J47" s="485"/>
      <c r="K47" s="173" t="s">
        <v>499</v>
      </c>
      <c r="L47" s="173" t="s">
        <v>500</v>
      </c>
      <c r="M47" s="504" t="str">
        <f t="shared" ref="M47" si="95">IF(F47="gestion","impacto",IF(F47="corrupcion","impactocorrupcion",IF(F47="seguridad_de_la_informacion","impacto","")))</f>
        <v/>
      </c>
      <c r="N47" s="481" t="s">
        <v>18</v>
      </c>
      <c r="O47" s="481" t="s">
        <v>22</v>
      </c>
      <c r="P47" s="504" t="str">
        <f t="shared" ref="P47" si="96">N47&amp;O47</f>
        <v>PosibleMenor</v>
      </c>
      <c r="Q47" s="506" t="str">
        <f>IFERROR(VLOOKUP(P47,[7]FORMULAS!$B$37:$C$61,2,FALSE),"")</f>
        <v>Riesgo moderado</v>
      </c>
      <c r="R47" s="405" t="s">
        <v>501</v>
      </c>
      <c r="S47" s="405"/>
      <c r="T47" s="174" t="s">
        <v>286</v>
      </c>
      <c r="U47" s="175">
        <f>IF(T47="Asignado",15,0)</f>
        <v>15</v>
      </c>
      <c r="V47" s="174" t="s">
        <v>287</v>
      </c>
      <c r="W47" s="175">
        <f>IF(V47="Adecuado",15,0)</f>
        <v>15</v>
      </c>
      <c r="X47" s="174" t="s">
        <v>288</v>
      </c>
      <c r="Y47" s="175">
        <f>IF(X47="Oportuna",15,0)</f>
        <v>15</v>
      </c>
      <c r="Z47" s="174" t="s">
        <v>291</v>
      </c>
      <c r="AA47" s="175">
        <f>IF(Z47="Prevenir",15,IF(Z47="Detectar",10,0))</f>
        <v>15</v>
      </c>
      <c r="AB47" s="174" t="s">
        <v>290</v>
      </c>
      <c r="AC47" s="175">
        <f>IF(AB47="Confiable",15,0)</f>
        <v>15</v>
      </c>
      <c r="AD47" s="174" t="s">
        <v>292</v>
      </c>
      <c r="AE47" s="175">
        <f>IF(AD47="Se investigan y resuelven oportunamente",15,0)</f>
        <v>15</v>
      </c>
      <c r="AF47" s="174" t="s">
        <v>289</v>
      </c>
      <c r="AG47" s="175">
        <f t="shared" si="90"/>
        <v>10</v>
      </c>
      <c r="AH47" s="176">
        <f t="shared" si="79"/>
        <v>100</v>
      </c>
      <c r="AI47" s="176" t="str">
        <f t="shared" si="94"/>
        <v>Fuerte</v>
      </c>
      <c r="AJ47" s="177" t="s">
        <v>293</v>
      </c>
      <c r="AK47" s="176" t="str">
        <f t="shared" si="91"/>
        <v>Fuerte</v>
      </c>
      <c r="AL47" s="176" t="str">
        <f t="shared" si="92"/>
        <v>FuerteFuerte</v>
      </c>
      <c r="AM47" s="176" t="str">
        <f>IFERROR(VLOOKUP(AL47,[7]FORMULAS!$B$69:$D$77,3,FALSE),"")</f>
        <v>Fuerte</v>
      </c>
      <c r="AN47" s="176">
        <f t="shared" si="93"/>
        <v>100</v>
      </c>
      <c r="AO47" s="176" t="str">
        <f>IFERROR(VLOOKUP(AL47,[7]FORMULAS!$B$69:$D$77,2,FALSE),"")</f>
        <v>No</v>
      </c>
      <c r="AP47" s="508">
        <f>IFERROR(AVERAGE(AN47:AN48),0)</f>
        <v>100</v>
      </c>
      <c r="AQ47" s="508" t="str">
        <f t="shared" ref="AQ47" si="97">IF(AP47&gt;=100,"Fuerte",IF(AP47&gt;=50,"Moderado",IF(AP47&gt;=1,"Débil","")))</f>
        <v>Fuerte</v>
      </c>
      <c r="AR47" s="510" t="s">
        <v>160</v>
      </c>
      <c r="AS47" s="510" t="s">
        <v>162</v>
      </c>
      <c r="AT47" s="508" t="str">
        <f t="shared" ref="AT47" si="98">+AQ47&amp;AR47&amp;AS47</f>
        <v>FuerteDirectamenteIndirectamente</v>
      </c>
      <c r="AU47" s="508">
        <f>IFERROR(VLOOKUP(AT47,[7]FORMULAS!$B$94:$D$101,2,FALSE),0)</f>
        <v>2</v>
      </c>
      <c r="AV47" s="508">
        <f>IFERROR(VLOOKUP(AT47,[7]FORMULAS!$B$94:$D$101,3,FALSE),0)</f>
        <v>1</v>
      </c>
      <c r="AW47" s="481" t="s">
        <v>134</v>
      </c>
      <c r="AX47" s="481" t="s">
        <v>21</v>
      </c>
      <c r="AY47" s="504" t="str">
        <f t="shared" ref="AY47" si="99">AW47&amp;AX47</f>
        <v>Rara vezInsignificante</v>
      </c>
      <c r="AZ47" s="582" t="str">
        <f>IFERROR(VLOOKUP(AY47,[7]FORMULAS!$B$37:$C$61,2,FALSE),"")</f>
        <v>Riesgo bajo</v>
      </c>
      <c r="BA47" s="506" t="s">
        <v>168</v>
      </c>
      <c r="BB47" s="173" t="s">
        <v>502</v>
      </c>
      <c r="BC47" s="173" t="s">
        <v>503</v>
      </c>
      <c r="BD47" s="180" t="s">
        <v>504</v>
      </c>
      <c r="BE47" s="181" t="s">
        <v>426</v>
      </c>
      <c r="BF47" s="181" t="s">
        <v>505</v>
      </c>
      <c r="BG47" s="595" t="s">
        <v>506</v>
      </c>
      <c r="BH47" s="534" t="s">
        <v>507</v>
      </c>
      <c r="BI47" s="534" t="s">
        <v>504</v>
      </c>
      <c r="BJ47" s="182" t="s">
        <v>508</v>
      </c>
    </row>
    <row r="48" spans="2:62" s="86" customFormat="1" ht="36.75" thickBot="1" x14ac:dyDescent="0.3">
      <c r="B48" s="409"/>
      <c r="C48" s="489"/>
      <c r="D48" s="490"/>
      <c r="E48" s="490"/>
      <c r="F48" s="489"/>
      <c r="G48" s="489"/>
      <c r="H48" s="490"/>
      <c r="I48" s="503"/>
      <c r="J48" s="503"/>
      <c r="K48" s="183" t="s">
        <v>509</v>
      </c>
      <c r="L48" s="183" t="s">
        <v>510</v>
      </c>
      <c r="M48" s="505"/>
      <c r="N48" s="489"/>
      <c r="O48" s="489"/>
      <c r="P48" s="505"/>
      <c r="Q48" s="507"/>
      <c r="R48" s="490" t="s">
        <v>511</v>
      </c>
      <c r="S48" s="490"/>
      <c r="T48" s="184" t="s">
        <v>286</v>
      </c>
      <c r="U48" s="185">
        <f>IF(T48="Asignado",15,0)</f>
        <v>15</v>
      </c>
      <c r="V48" s="184" t="s">
        <v>287</v>
      </c>
      <c r="W48" s="185">
        <f>IF(V48="Adecuado",15,0)</f>
        <v>15</v>
      </c>
      <c r="X48" s="184" t="s">
        <v>288</v>
      </c>
      <c r="Y48" s="185">
        <f>IF(X48="Oportuna",15,0)</f>
        <v>15</v>
      </c>
      <c r="Z48" s="184" t="s">
        <v>291</v>
      </c>
      <c r="AA48" s="185">
        <f>IF(Z48="Prevenir",15,IF(Z48="Detectar",10,0))</f>
        <v>15</v>
      </c>
      <c r="AB48" s="184" t="s">
        <v>290</v>
      </c>
      <c r="AC48" s="185">
        <f>IF(AB48="Confiable",15,0)</f>
        <v>15</v>
      </c>
      <c r="AD48" s="184" t="s">
        <v>292</v>
      </c>
      <c r="AE48" s="185">
        <f>IF(AD48="Se investigan y resuelven oportunamente",15,0)</f>
        <v>15</v>
      </c>
      <c r="AF48" s="184" t="s">
        <v>289</v>
      </c>
      <c r="AG48" s="185">
        <f t="shared" si="90"/>
        <v>10</v>
      </c>
      <c r="AH48" s="186">
        <f t="shared" si="79"/>
        <v>100</v>
      </c>
      <c r="AI48" s="186" t="str">
        <f t="shared" si="94"/>
        <v>Fuerte</v>
      </c>
      <c r="AJ48" s="187" t="s">
        <v>293</v>
      </c>
      <c r="AK48" s="186" t="str">
        <f t="shared" si="91"/>
        <v>Fuerte</v>
      </c>
      <c r="AL48" s="186" t="str">
        <f t="shared" si="92"/>
        <v>FuerteFuerte</v>
      </c>
      <c r="AM48" s="186" t="str">
        <f>IFERROR(VLOOKUP(AL48,[7]FORMULAS!$B$69:$D$77,3,FALSE),"")</f>
        <v>Fuerte</v>
      </c>
      <c r="AN48" s="186">
        <f t="shared" si="93"/>
        <v>100</v>
      </c>
      <c r="AO48" s="186" t="str">
        <f>IFERROR(VLOOKUP(AL48,[7]FORMULAS!$B$69:$C$77,2,FALSE),"")</f>
        <v>No</v>
      </c>
      <c r="AP48" s="509"/>
      <c r="AQ48" s="509"/>
      <c r="AR48" s="511"/>
      <c r="AS48" s="511"/>
      <c r="AT48" s="509"/>
      <c r="AU48" s="509"/>
      <c r="AV48" s="509"/>
      <c r="AW48" s="489"/>
      <c r="AX48" s="489"/>
      <c r="AY48" s="505"/>
      <c r="AZ48" s="583"/>
      <c r="BA48" s="507"/>
      <c r="BB48" s="183" t="s">
        <v>512</v>
      </c>
      <c r="BC48" s="183" t="s">
        <v>513</v>
      </c>
      <c r="BD48" s="190" t="s">
        <v>504</v>
      </c>
      <c r="BE48" s="191" t="s">
        <v>426</v>
      </c>
      <c r="BF48" s="191" t="s">
        <v>514</v>
      </c>
      <c r="BG48" s="596"/>
      <c r="BH48" s="535"/>
      <c r="BI48" s="535"/>
      <c r="BJ48" s="192" t="s">
        <v>515</v>
      </c>
    </row>
    <row r="49" spans="2:63" s="86" customFormat="1" ht="36" x14ac:dyDescent="0.25">
      <c r="B49" s="376" t="s">
        <v>73</v>
      </c>
      <c r="C49" s="361">
        <v>11</v>
      </c>
      <c r="D49" s="373" t="s">
        <v>516</v>
      </c>
      <c r="E49" s="373" t="s">
        <v>517</v>
      </c>
      <c r="F49" s="361" t="s">
        <v>91</v>
      </c>
      <c r="G49" s="361" t="s">
        <v>101</v>
      </c>
      <c r="H49" s="373" t="s">
        <v>518</v>
      </c>
      <c r="I49" s="379" t="s">
        <v>128</v>
      </c>
      <c r="J49" s="379" t="s">
        <v>113</v>
      </c>
      <c r="K49" s="109" t="s">
        <v>519</v>
      </c>
      <c r="L49" s="373" t="s">
        <v>520</v>
      </c>
      <c r="M49" s="364" t="str">
        <f>IF(F49="gestion","impacto",IF(F49="corrupcion","impactocorrupcion",IF(F49="seguridad_de_la_informacion","impacto","")))</f>
        <v>impacto</v>
      </c>
      <c r="N49" s="361" t="s">
        <v>18</v>
      </c>
      <c r="O49" s="361" t="s">
        <v>22</v>
      </c>
      <c r="P49" s="364" t="str">
        <f>N49&amp;O49</f>
        <v>PosibleMenor</v>
      </c>
      <c r="Q49" s="370" t="str">
        <f>IFERROR(VLOOKUP(P49,[7]FORMULAS!$B$37:$C$61,2,FALSE),"")</f>
        <v>Riesgo moderado</v>
      </c>
      <c r="R49" s="343" t="s">
        <v>521</v>
      </c>
      <c r="S49" s="344"/>
      <c r="T49" s="112" t="s">
        <v>286</v>
      </c>
      <c r="U49" s="113">
        <f>IF(T49="Asignado",15,0)</f>
        <v>15</v>
      </c>
      <c r="V49" s="112" t="s">
        <v>287</v>
      </c>
      <c r="W49" s="113">
        <f>IF(V49="Adecuado",15,0)</f>
        <v>15</v>
      </c>
      <c r="X49" s="112" t="s">
        <v>288</v>
      </c>
      <c r="Y49" s="113">
        <f>IF(X49="Oportuna",15,0)</f>
        <v>15</v>
      </c>
      <c r="Z49" s="112" t="s">
        <v>291</v>
      </c>
      <c r="AA49" s="113">
        <f>IF(Z49="Prevenir",15,IF(Z49="Detectar",10,0))</f>
        <v>15</v>
      </c>
      <c r="AB49" s="112" t="s">
        <v>290</v>
      </c>
      <c r="AC49" s="113">
        <f>IF(AB49="Confiable",15,0)</f>
        <v>15</v>
      </c>
      <c r="AD49" s="112" t="s">
        <v>292</v>
      </c>
      <c r="AE49" s="113">
        <f>IF(AD49="Se investigan y resuelven oportunamente",15,0)</f>
        <v>15</v>
      </c>
      <c r="AF49" s="112" t="s">
        <v>289</v>
      </c>
      <c r="AG49" s="113">
        <f>IF(AF49="Completa",10,IF(AF49="incompleta",5,0))</f>
        <v>10</v>
      </c>
      <c r="AH49" s="114">
        <f t="shared" si="79"/>
        <v>100</v>
      </c>
      <c r="AI49" s="114" t="str">
        <f t="shared" ref="AI49:AI54" si="100">IF(AH49&gt;=96,"Fuerte",IF(AH49&gt;=86,"Moderado",IF(AH49&gt;=1,"Débil","")))</f>
        <v>Fuerte</v>
      </c>
      <c r="AJ49" s="115" t="s">
        <v>293</v>
      </c>
      <c r="AK49" s="114" t="str">
        <f>IF(AJ49="Siempre se ejecuta","Fuerte",IF(AJ49="Algunas veces","Moderado",IF(AJ49="no se ejecuta","Débil","")))</f>
        <v>Fuerte</v>
      </c>
      <c r="AL49" s="114" t="str">
        <f>AI49&amp;AK49</f>
        <v>FuerteFuerte</v>
      </c>
      <c r="AM49" s="114" t="str">
        <f>IFERROR(VLOOKUP(AL49,[7]FORMULAS!$B$69:$D$77,3,FALSE),"")</f>
        <v>Fuerte</v>
      </c>
      <c r="AN49" s="114">
        <f>IF(AM49="fuerte",100,IF(AM49="Moderado",50,IF(AM49="débil",0,"")))</f>
        <v>100</v>
      </c>
      <c r="AO49" s="114" t="str">
        <f>IFERROR(VLOOKUP(AL49,[7]FORMULAS!$B$69:$D$77,2,FALSE),"")</f>
        <v>No</v>
      </c>
      <c r="AP49" s="358">
        <f>IFERROR(AVERAGE(AN49:AN50),0)</f>
        <v>100</v>
      </c>
      <c r="AQ49" s="358" t="str">
        <f>IF(AP49&gt;=100,"Fuerte",IF(AP49&gt;=50,"Moderado",IF(AP49&gt;=1,"Débil","")))</f>
        <v>Fuerte</v>
      </c>
      <c r="AR49" s="355" t="s">
        <v>160</v>
      </c>
      <c r="AS49" s="355" t="s">
        <v>160</v>
      </c>
      <c r="AT49" s="358" t="str">
        <f>+AQ49&amp;AR49&amp;AS49</f>
        <v>FuerteDirectamenteDirectamente</v>
      </c>
      <c r="AU49" s="358">
        <f>IFERROR(VLOOKUP(AT49,[7]FORMULAS!$B$94:$D$101,2,FALSE),0)</f>
        <v>2</v>
      </c>
      <c r="AV49" s="358">
        <f>IFERROR(VLOOKUP(AT49,[7]FORMULAS!$B$94:$D$101,3,FALSE),0)</f>
        <v>2</v>
      </c>
      <c r="AW49" s="361" t="s">
        <v>134</v>
      </c>
      <c r="AX49" s="361" t="s">
        <v>22</v>
      </c>
      <c r="AY49" s="364" t="str">
        <f>AW49&amp;AX49</f>
        <v>Rara vezMenor</v>
      </c>
      <c r="AZ49" s="367" t="str">
        <f>IFERROR(VLOOKUP(AY49,[7]FORMULAS!$B$37:$C$61,2,FALSE),"")</f>
        <v>Riesgo bajo</v>
      </c>
      <c r="BA49" s="370" t="s">
        <v>167</v>
      </c>
      <c r="BB49" s="333" t="s">
        <v>522</v>
      </c>
      <c r="BC49" s="553" t="s">
        <v>523</v>
      </c>
      <c r="BD49" s="534" t="s">
        <v>504</v>
      </c>
      <c r="BE49" s="160" t="s">
        <v>426</v>
      </c>
      <c r="BF49" s="160" t="s">
        <v>524</v>
      </c>
      <c r="BG49" s="119" t="s">
        <v>525</v>
      </c>
      <c r="BH49" s="119" t="s">
        <v>526</v>
      </c>
      <c r="BI49" s="153" t="s">
        <v>504</v>
      </c>
      <c r="BJ49" s="154" t="s">
        <v>527</v>
      </c>
    </row>
    <row r="50" spans="2:63" s="86" customFormat="1" ht="36.75" thickBot="1" x14ac:dyDescent="0.3">
      <c r="B50" s="378"/>
      <c r="C50" s="363"/>
      <c r="D50" s="375"/>
      <c r="E50" s="375"/>
      <c r="F50" s="363"/>
      <c r="G50" s="363"/>
      <c r="H50" s="375"/>
      <c r="I50" s="381"/>
      <c r="J50" s="381"/>
      <c r="K50" s="137" t="s">
        <v>528</v>
      </c>
      <c r="L50" s="375"/>
      <c r="M50" s="366"/>
      <c r="N50" s="363"/>
      <c r="O50" s="363"/>
      <c r="P50" s="366"/>
      <c r="Q50" s="372"/>
      <c r="R50" s="347"/>
      <c r="S50" s="348"/>
      <c r="T50" s="125" t="s">
        <v>286</v>
      </c>
      <c r="U50" s="126">
        <f t="shared" ref="U50" si="101">IF(T50="Asignado",15,0)</f>
        <v>15</v>
      </c>
      <c r="V50" s="125" t="s">
        <v>287</v>
      </c>
      <c r="W50" s="126">
        <f t="shared" ref="W50" si="102">IF(V50="Adecuado",15,0)</f>
        <v>15</v>
      </c>
      <c r="X50" s="125" t="s">
        <v>288</v>
      </c>
      <c r="Y50" s="126">
        <f t="shared" ref="Y50" si="103">IF(X50="Oportuna",15,0)</f>
        <v>15</v>
      </c>
      <c r="Z50" s="125" t="s">
        <v>291</v>
      </c>
      <c r="AA50" s="126">
        <f t="shared" ref="AA50" si="104">IF(Z50="Prevenir",15,IF(Z50="Detectar",10,0))</f>
        <v>15</v>
      </c>
      <c r="AB50" s="125" t="s">
        <v>290</v>
      </c>
      <c r="AC50" s="126">
        <f t="shared" ref="AC50" si="105">IF(AB50="Confiable",15,0)</f>
        <v>15</v>
      </c>
      <c r="AD50" s="125" t="s">
        <v>292</v>
      </c>
      <c r="AE50" s="126">
        <f t="shared" ref="AE50" si="106">IF(AD50="Se investigan y resuelven oportunamente",15,0)</f>
        <v>15</v>
      </c>
      <c r="AF50" s="125" t="s">
        <v>289</v>
      </c>
      <c r="AG50" s="126">
        <f t="shared" ref="AG50" si="107">IF(AF50="Completa",10,IF(AF50="incompleta",5,0))</f>
        <v>10</v>
      </c>
      <c r="AH50" s="127">
        <f t="shared" si="79"/>
        <v>100</v>
      </c>
      <c r="AI50" s="127" t="str">
        <f t="shared" si="100"/>
        <v>Fuerte</v>
      </c>
      <c r="AJ50" s="128" t="s">
        <v>293</v>
      </c>
      <c r="AK50" s="127" t="str">
        <f t="shared" ref="AK50" si="108">IF(AJ50="Siempre se ejecuta","Fuerte",IF(AJ50="Algunas veces","Moderado",IF(AJ50="no se ejecuta","Débil","")))</f>
        <v>Fuerte</v>
      </c>
      <c r="AL50" s="127" t="str">
        <f t="shared" ref="AL50" si="109">AI50&amp;AK50</f>
        <v>FuerteFuerte</v>
      </c>
      <c r="AM50" s="127" t="str">
        <f>IFERROR(VLOOKUP(AL50,[7]FORMULAS!$B$69:$D$77,3,FALSE),"")</f>
        <v>Fuerte</v>
      </c>
      <c r="AN50" s="127">
        <f t="shared" ref="AN50" si="110">IF(AM50="fuerte",100,IF(AM50="Moderado",50,IF(AM50="débil",0,"")))</f>
        <v>100</v>
      </c>
      <c r="AO50" s="127" t="str">
        <f>IFERROR(VLOOKUP(AL50,[7]FORMULAS!$B$69:$C$77,2,FALSE),"")</f>
        <v>No</v>
      </c>
      <c r="AP50" s="360"/>
      <c r="AQ50" s="360"/>
      <c r="AR50" s="357"/>
      <c r="AS50" s="357"/>
      <c r="AT50" s="360"/>
      <c r="AU50" s="360"/>
      <c r="AV50" s="360"/>
      <c r="AW50" s="363"/>
      <c r="AX50" s="363"/>
      <c r="AY50" s="366"/>
      <c r="AZ50" s="369"/>
      <c r="BA50" s="372"/>
      <c r="BB50" s="335"/>
      <c r="BC50" s="554"/>
      <c r="BD50" s="535"/>
      <c r="BE50" s="162" t="s">
        <v>426</v>
      </c>
      <c r="BF50" s="162" t="s">
        <v>529</v>
      </c>
      <c r="BG50" s="139" t="s">
        <v>525</v>
      </c>
      <c r="BH50" s="132" t="s">
        <v>526</v>
      </c>
      <c r="BI50" s="132" t="s">
        <v>504</v>
      </c>
      <c r="BJ50" s="156" t="s">
        <v>527</v>
      </c>
    </row>
    <row r="51" spans="2:63" s="86" customFormat="1" ht="72" x14ac:dyDescent="0.25">
      <c r="B51" s="557" t="s">
        <v>74</v>
      </c>
      <c r="C51" s="339">
        <v>12</v>
      </c>
      <c r="D51" s="352" t="s">
        <v>530</v>
      </c>
      <c r="E51" s="352" t="s">
        <v>531</v>
      </c>
      <c r="F51" s="339" t="s">
        <v>90</v>
      </c>
      <c r="G51" s="339" t="s">
        <v>98</v>
      </c>
      <c r="H51" s="352" t="s">
        <v>532</v>
      </c>
      <c r="I51" s="560" t="s">
        <v>128</v>
      </c>
      <c r="J51" s="560"/>
      <c r="K51" s="109" t="s">
        <v>533</v>
      </c>
      <c r="L51" s="352" t="s">
        <v>534</v>
      </c>
      <c r="M51" s="563" t="str">
        <f>IF(F51="gestion","impacto",IF(F51="corrupcion","impactocorrupcion",IF(F51="seguridad_de_la_informacion","impacto","")))</f>
        <v>impactocorrupcion</v>
      </c>
      <c r="N51" s="339" t="s">
        <v>17</v>
      </c>
      <c r="O51" s="339" t="s">
        <v>23</v>
      </c>
      <c r="P51" s="563" t="str">
        <f>N51&amp;O51</f>
        <v>ImprobableModerado</v>
      </c>
      <c r="Q51" s="553" t="str">
        <f>IFERROR(VLOOKUP(P51,[8]FORMULAS!$B$37:$C$61,2,FALSE),"")</f>
        <v>Riesgo moderado</v>
      </c>
      <c r="R51" s="466" t="s">
        <v>535</v>
      </c>
      <c r="S51" s="467"/>
      <c r="T51" s="112" t="s">
        <v>286</v>
      </c>
      <c r="U51" s="113">
        <f>IF(T51="Asignado",15,0)</f>
        <v>15</v>
      </c>
      <c r="V51" s="112" t="s">
        <v>287</v>
      </c>
      <c r="W51" s="113">
        <f>IF(V51="Adecuado",15,0)</f>
        <v>15</v>
      </c>
      <c r="X51" s="112" t="s">
        <v>288</v>
      </c>
      <c r="Y51" s="113">
        <f>IF(X51="Oportuna",15,0)</f>
        <v>15</v>
      </c>
      <c r="Z51" s="112" t="s">
        <v>341</v>
      </c>
      <c r="AA51" s="113">
        <f>IF(Z51="Prevenir",15,IF(Z51="Detectar",10,0))</f>
        <v>10</v>
      </c>
      <c r="AB51" s="112" t="s">
        <v>290</v>
      </c>
      <c r="AC51" s="113">
        <f>IF(AB51="Confiable",15,0)</f>
        <v>15</v>
      </c>
      <c r="AD51" s="112" t="s">
        <v>292</v>
      </c>
      <c r="AE51" s="113">
        <f>IF(AD51="Se investigan y resuelven oportunamente",15,0)</f>
        <v>15</v>
      </c>
      <c r="AF51" s="112" t="s">
        <v>289</v>
      </c>
      <c r="AG51" s="113">
        <f>IF(AF51="Completa",10,IF(AF51="incompleta",5,0))</f>
        <v>10</v>
      </c>
      <c r="AH51" s="114">
        <f t="shared" si="79"/>
        <v>95</v>
      </c>
      <c r="AI51" s="114" t="str">
        <f t="shared" si="100"/>
        <v>Moderado</v>
      </c>
      <c r="AJ51" s="115" t="s">
        <v>293</v>
      </c>
      <c r="AK51" s="114" t="str">
        <f>IF(AJ51="Siempre se ejecuta","Fuerte",IF(AJ51="Algunas veces","Moderado",IF(AJ51="no se ejecuta","Débil","")))</f>
        <v>Fuerte</v>
      </c>
      <c r="AL51" s="114" t="str">
        <f>AI51&amp;AK51</f>
        <v>ModeradoFuerte</v>
      </c>
      <c r="AM51" s="114" t="str">
        <f>IFERROR(VLOOKUP(AL51,[8]FORMULAS!$B$69:$D$77,3,FALSE),"")</f>
        <v>Moderado</v>
      </c>
      <c r="AN51" s="114">
        <f>IF(AM51="fuerte",100,IF(AM51="Moderado",50,IF(AM51="débil",0,"")))</f>
        <v>50</v>
      </c>
      <c r="AO51" s="114" t="str">
        <f>IFERROR(VLOOKUP(AL51,[8]FORMULAS!$B$69:$D$77,2,FALSE),"")</f>
        <v>Sí</v>
      </c>
      <c r="AP51" s="399">
        <f>IFERROR(AVERAGE(AN51:AN52),0)</f>
        <v>75</v>
      </c>
      <c r="AQ51" s="399" t="str">
        <f>IF(AP51&gt;=100,"Fuerte",IF(AP51&gt;=50,"Moderado",IF(AP51&gt;=1,"Débil","")))</f>
        <v>Moderado</v>
      </c>
      <c r="AR51" s="402" t="s">
        <v>160</v>
      </c>
      <c r="AS51" s="402" t="s">
        <v>161</v>
      </c>
      <c r="AT51" s="399" t="str">
        <f>+AQ51&amp;AR51&amp;AS51</f>
        <v>ModeradoDirectamenteNo disminuye</v>
      </c>
      <c r="AU51" s="399">
        <f>IFERROR(VLOOKUP(AT51,[8]FORMULAS!$B$94:$D$101,2,FALSE),0)</f>
        <v>1</v>
      </c>
      <c r="AV51" s="399">
        <f>IFERROR(VLOOKUP(AT51,[8]FORMULAS!$B$94:$D$101,3,FALSE),0)</f>
        <v>0</v>
      </c>
      <c r="AW51" s="339" t="s">
        <v>134</v>
      </c>
      <c r="AX51" s="339" t="s">
        <v>23</v>
      </c>
      <c r="AY51" s="563" t="str">
        <f>AW51&amp;AX51</f>
        <v>Rara vezModerado</v>
      </c>
      <c r="AZ51" s="551" t="str">
        <f>IFERROR(VLOOKUP(AY51,[8]FORMULAS!$B$37:$C$61,2,FALSE),"")</f>
        <v>Riesgo moderado</v>
      </c>
      <c r="BA51" s="553" t="s">
        <v>167</v>
      </c>
      <c r="BB51" s="153" t="s">
        <v>536</v>
      </c>
      <c r="BC51" s="119" t="s">
        <v>537</v>
      </c>
      <c r="BD51" s="119" t="s">
        <v>538</v>
      </c>
      <c r="BE51" s="120" t="s">
        <v>539</v>
      </c>
      <c r="BF51" s="548" t="s">
        <v>580</v>
      </c>
      <c r="BG51" s="542" t="s">
        <v>546</v>
      </c>
      <c r="BH51" s="333" t="s">
        <v>547</v>
      </c>
      <c r="BI51" s="333" t="s">
        <v>548</v>
      </c>
      <c r="BJ51" s="333" t="s">
        <v>549</v>
      </c>
    </row>
    <row r="52" spans="2:63" s="86" customFormat="1" ht="72.75" thickBot="1" x14ac:dyDescent="0.3">
      <c r="B52" s="558"/>
      <c r="C52" s="342"/>
      <c r="D52" s="354"/>
      <c r="E52" s="354"/>
      <c r="F52" s="342"/>
      <c r="G52" s="342"/>
      <c r="H52" s="354"/>
      <c r="I52" s="562"/>
      <c r="J52" s="562"/>
      <c r="K52" s="137" t="s">
        <v>540</v>
      </c>
      <c r="L52" s="354"/>
      <c r="M52" s="565"/>
      <c r="N52" s="342"/>
      <c r="O52" s="342"/>
      <c r="P52" s="565"/>
      <c r="Q52" s="554"/>
      <c r="R52" s="555" t="s">
        <v>541</v>
      </c>
      <c r="S52" s="556"/>
      <c r="T52" s="125" t="s">
        <v>286</v>
      </c>
      <c r="U52" s="126">
        <f t="shared" ref="U52" si="111">IF(T52="Asignado",15,0)</f>
        <v>15</v>
      </c>
      <c r="V52" s="125" t="s">
        <v>287</v>
      </c>
      <c r="W52" s="126">
        <f t="shared" ref="W52" si="112">IF(V52="Adecuado",15,0)</f>
        <v>15</v>
      </c>
      <c r="X52" s="125" t="s">
        <v>288</v>
      </c>
      <c r="Y52" s="126">
        <f t="shared" ref="Y52" si="113">IF(X52="Oportuna",15,0)</f>
        <v>15</v>
      </c>
      <c r="Z52" s="125" t="s">
        <v>291</v>
      </c>
      <c r="AA52" s="126">
        <f t="shared" ref="AA52" si="114">IF(Z52="Prevenir",15,IF(Z52="Detectar",10,0))</f>
        <v>15</v>
      </c>
      <c r="AB52" s="125" t="s">
        <v>290</v>
      </c>
      <c r="AC52" s="126">
        <f t="shared" ref="AC52" si="115">IF(AB52="Confiable",15,0)</f>
        <v>15</v>
      </c>
      <c r="AD52" s="125" t="s">
        <v>292</v>
      </c>
      <c r="AE52" s="126">
        <f t="shared" ref="AE52" si="116">IF(AD52="Se investigan y resuelven oportunamente",15,0)</f>
        <v>15</v>
      </c>
      <c r="AF52" s="125" t="s">
        <v>289</v>
      </c>
      <c r="AG52" s="126">
        <f t="shared" ref="AG52" si="117">IF(AF52="Completa",10,IF(AF52="incompleta",5,0))</f>
        <v>10</v>
      </c>
      <c r="AH52" s="127">
        <f t="shared" si="79"/>
        <v>100</v>
      </c>
      <c r="AI52" s="127" t="str">
        <f t="shared" si="100"/>
        <v>Fuerte</v>
      </c>
      <c r="AJ52" s="128" t="s">
        <v>293</v>
      </c>
      <c r="AK52" s="127" t="str">
        <f t="shared" ref="AK52" si="118">IF(AJ52="Siempre se ejecuta","Fuerte",IF(AJ52="Algunas veces","Moderado",IF(AJ52="no se ejecuta","Débil","")))</f>
        <v>Fuerte</v>
      </c>
      <c r="AL52" s="127" t="str">
        <f t="shared" ref="AL52" si="119">AI52&amp;AK52</f>
        <v>FuerteFuerte</v>
      </c>
      <c r="AM52" s="127" t="str">
        <f>IFERROR(VLOOKUP(AL52,[8]FORMULAS!$B$69:$D$77,3,FALSE),"")</f>
        <v>Fuerte</v>
      </c>
      <c r="AN52" s="127">
        <f t="shared" ref="AN52" si="120">IF(AM52="fuerte",100,IF(AM52="Moderado",50,IF(AM52="débil",0,"")))</f>
        <v>100</v>
      </c>
      <c r="AO52" s="127" t="str">
        <f>IFERROR(VLOOKUP(AL52,[8]FORMULAS!$B$69:$C$77,2,FALSE),"")</f>
        <v>No</v>
      </c>
      <c r="AP52" s="401"/>
      <c r="AQ52" s="401"/>
      <c r="AR52" s="404"/>
      <c r="AS52" s="404"/>
      <c r="AT52" s="401"/>
      <c r="AU52" s="401"/>
      <c r="AV52" s="401"/>
      <c r="AW52" s="342"/>
      <c r="AX52" s="342"/>
      <c r="AY52" s="565"/>
      <c r="AZ52" s="552"/>
      <c r="BA52" s="554"/>
      <c r="BB52" s="161" t="s">
        <v>542</v>
      </c>
      <c r="BC52" s="139" t="s">
        <v>543</v>
      </c>
      <c r="BD52" s="139" t="s">
        <v>544</v>
      </c>
      <c r="BE52" s="193" t="s">
        <v>545</v>
      </c>
      <c r="BF52" s="549"/>
      <c r="BG52" s="544"/>
      <c r="BH52" s="335"/>
      <c r="BI52" s="335"/>
      <c r="BJ52" s="335"/>
    </row>
    <row r="53" spans="2:63" s="86" customFormat="1" ht="20.100000000000001" customHeight="1" x14ac:dyDescent="0.25">
      <c r="B53" s="557" t="s">
        <v>74</v>
      </c>
      <c r="C53" s="339">
        <v>13</v>
      </c>
      <c r="D53" s="352" t="s">
        <v>550</v>
      </c>
      <c r="E53" s="352" t="s">
        <v>551</v>
      </c>
      <c r="F53" s="339" t="s">
        <v>89</v>
      </c>
      <c r="G53" s="339" t="s">
        <v>94</v>
      </c>
      <c r="H53" s="352" t="s">
        <v>532</v>
      </c>
      <c r="I53" s="560" t="s">
        <v>128</v>
      </c>
      <c r="J53" s="560"/>
      <c r="K53" s="109" t="s">
        <v>552</v>
      </c>
      <c r="L53" s="352" t="s">
        <v>553</v>
      </c>
      <c r="M53" s="563" t="str">
        <f>IF(F53="gestion","impacto",IF(F53="corrupcion","impactocorrupcion",IF(F53="seguridad_de_la_informacion","impacto","")))</f>
        <v>impacto</v>
      </c>
      <c r="N53" s="339" t="s">
        <v>18</v>
      </c>
      <c r="O53" s="339" t="s">
        <v>22</v>
      </c>
      <c r="P53" s="563" t="str">
        <f>N53&amp;O53</f>
        <v>PosibleMenor</v>
      </c>
      <c r="Q53" s="553" t="str">
        <f>IFERROR(VLOOKUP(P53,[8]FORMULAS!$B$37:$C$61,2,FALSE),"")</f>
        <v>Riesgo moderado</v>
      </c>
      <c r="R53" s="466" t="s">
        <v>554</v>
      </c>
      <c r="S53" s="467"/>
      <c r="T53" s="112" t="s">
        <v>286</v>
      </c>
      <c r="U53" s="113">
        <f>IF(T53="Asignado",15,0)</f>
        <v>15</v>
      </c>
      <c r="V53" s="112" t="s">
        <v>287</v>
      </c>
      <c r="W53" s="113">
        <f>IF(V53="Adecuado",15,0)</f>
        <v>15</v>
      </c>
      <c r="X53" s="112" t="s">
        <v>288</v>
      </c>
      <c r="Y53" s="113">
        <f>IF(X53="Oportuna",15,0)</f>
        <v>15</v>
      </c>
      <c r="Z53" s="112" t="s">
        <v>341</v>
      </c>
      <c r="AA53" s="113">
        <f>IF(Z53="Prevenir",15,IF(Z53="Detectar",10,0))</f>
        <v>10</v>
      </c>
      <c r="AB53" s="112" t="s">
        <v>290</v>
      </c>
      <c r="AC53" s="113">
        <f>IF(AB53="Confiable",15,0)</f>
        <v>15</v>
      </c>
      <c r="AD53" s="112" t="s">
        <v>292</v>
      </c>
      <c r="AE53" s="113">
        <f>IF(AD53="Se investigan y resuelven oportunamente",15,0)</f>
        <v>15</v>
      </c>
      <c r="AF53" s="112" t="s">
        <v>289</v>
      </c>
      <c r="AG53" s="113">
        <f>IF(AF53="Completa",10,IF(AF53="incompleta",5,0))</f>
        <v>10</v>
      </c>
      <c r="AH53" s="114">
        <f t="shared" si="79"/>
        <v>95</v>
      </c>
      <c r="AI53" s="114" t="str">
        <f t="shared" si="100"/>
        <v>Moderado</v>
      </c>
      <c r="AJ53" s="115" t="s">
        <v>293</v>
      </c>
      <c r="AK53" s="114" t="str">
        <f>IF(AJ53="Siempre se ejecuta","Fuerte",IF(AJ53="Algunas veces","Moderado",IF(AJ53="no se ejecuta","Débil","")))</f>
        <v>Fuerte</v>
      </c>
      <c r="AL53" s="114" t="str">
        <f>AI53&amp;AK53</f>
        <v>ModeradoFuerte</v>
      </c>
      <c r="AM53" s="114" t="str">
        <f>IFERROR(VLOOKUP(AL53,[8]FORMULAS!$B$69:$D$77,3,FALSE),"")</f>
        <v>Moderado</v>
      </c>
      <c r="AN53" s="114">
        <f>IF(AM53="fuerte",100,IF(AM53="Moderado",50,IF(AM53="débil",0,"")))</f>
        <v>50</v>
      </c>
      <c r="AO53" s="114" t="str">
        <f>IFERROR(VLOOKUP(AL53,[8]FORMULAS!$B$69:$D$77,2,FALSE),"")</f>
        <v>Sí</v>
      </c>
      <c r="AP53" s="399">
        <f>IFERROR(AVERAGE(AN53:AN56),0)</f>
        <v>50</v>
      </c>
      <c r="AQ53" s="399" t="str">
        <f>IF(AP53&gt;=100,"Fuerte",IF(AP53&gt;=50,"Moderado",IF(AP53&gt;=1,"Débil","")))</f>
        <v>Moderado</v>
      </c>
      <c r="AR53" s="402" t="s">
        <v>160</v>
      </c>
      <c r="AS53" s="402" t="s">
        <v>162</v>
      </c>
      <c r="AT53" s="399" t="str">
        <f>+AQ53&amp;AR53&amp;AS53</f>
        <v>ModeradoDirectamenteIndirectamente</v>
      </c>
      <c r="AU53" s="399">
        <f>IFERROR(VLOOKUP(AT53,[8]FORMULAS!$B$94:$D$101,2,FALSE),0)</f>
        <v>1</v>
      </c>
      <c r="AV53" s="399">
        <f>IFERROR(VLOOKUP(AT53,[8]FORMULAS!$B$94:$D$101,3,FALSE),0)</f>
        <v>0</v>
      </c>
      <c r="AW53" s="339" t="s">
        <v>17</v>
      </c>
      <c r="AX53" s="339" t="s">
        <v>22</v>
      </c>
      <c r="AY53" s="563" t="str">
        <f>AW53&amp;AX53</f>
        <v>ImprobableMenor</v>
      </c>
      <c r="AZ53" s="551" t="str">
        <f>IFERROR(VLOOKUP(AY53,[8]FORMULAS!$B$37:$C$61,2,FALSE),"")</f>
        <v>Riesgo bajo</v>
      </c>
      <c r="BA53" s="553" t="s">
        <v>167</v>
      </c>
      <c r="BB53" s="153" t="s">
        <v>555</v>
      </c>
      <c r="BC53" s="119" t="s">
        <v>556</v>
      </c>
      <c r="BD53" s="119" t="s">
        <v>538</v>
      </c>
      <c r="BE53" s="120" t="s">
        <v>334</v>
      </c>
      <c r="BF53" s="549"/>
      <c r="BG53" s="194" t="s">
        <v>561</v>
      </c>
      <c r="BH53" s="119" t="s">
        <v>562</v>
      </c>
      <c r="BI53" s="119" t="s">
        <v>563</v>
      </c>
      <c r="BJ53" s="154" t="s">
        <v>564</v>
      </c>
    </row>
    <row r="54" spans="2:63" s="86" customFormat="1" ht="20.100000000000001" customHeight="1" x14ac:dyDescent="0.25">
      <c r="B54" s="559"/>
      <c r="C54" s="341"/>
      <c r="D54" s="353"/>
      <c r="E54" s="353"/>
      <c r="F54" s="341"/>
      <c r="G54" s="341"/>
      <c r="H54" s="353"/>
      <c r="I54" s="561"/>
      <c r="J54" s="561"/>
      <c r="K54" s="121" t="s">
        <v>557</v>
      </c>
      <c r="L54" s="353"/>
      <c r="M54" s="564"/>
      <c r="N54" s="341"/>
      <c r="O54" s="341"/>
      <c r="P54" s="564"/>
      <c r="Q54" s="566"/>
      <c r="R54" s="567" t="s">
        <v>558</v>
      </c>
      <c r="S54" s="568"/>
      <c r="T54" s="96" t="s">
        <v>286</v>
      </c>
      <c r="U54" s="95">
        <f t="shared" ref="U54:U56" si="121">IF(T54="Asignado",15,0)</f>
        <v>15</v>
      </c>
      <c r="V54" s="96" t="s">
        <v>287</v>
      </c>
      <c r="W54" s="95">
        <f t="shared" ref="W54:W56" si="122">IF(V54="Adecuado",15,0)</f>
        <v>15</v>
      </c>
      <c r="X54" s="96" t="s">
        <v>288</v>
      </c>
      <c r="Y54" s="95">
        <f t="shared" ref="Y54:Y56" si="123">IF(X54="Oportuna",15,0)</f>
        <v>15</v>
      </c>
      <c r="Z54" s="96" t="s">
        <v>341</v>
      </c>
      <c r="AA54" s="95">
        <f t="shared" ref="AA54:AA56" si="124">IF(Z54="Prevenir",15,IF(Z54="Detectar",10,0))</f>
        <v>10</v>
      </c>
      <c r="AB54" s="96" t="s">
        <v>290</v>
      </c>
      <c r="AC54" s="95">
        <f t="shared" ref="AC54:AC56" si="125">IF(AB54="Confiable",15,0)</f>
        <v>15</v>
      </c>
      <c r="AD54" s="96" t="s">
        <v>292</v>
      </c>
      <c r="AE54" s="95">
        <f t="shared" ref="AE54:AE56" si="126">IF(AD54="Se investigan y resuelven oportunamente",15,0)</f>
        <v>15</v>
      </c>
      <c r="AF54" s="96" t="s">
        <v>289</v>
      </c>
      <c r="AG54" s="95">
        <f t="shared" ref="AG54:AG56" si="127">IF(AF54="Completa",10,IF(AF54="incompleta",5,0))</f>
        <v>10</v>
      </c>
      <c r="AH54" s="99">
        <f t="shared" si="79"/>
        <v>95</v>
      </c>
      <c r="AI54" s="99" t="str">
        <f t="shared" si="100"/>
        <v>Moderado</v>
      </c>
      <c r="AJ54" s="98" t="s">
        <v>293</v>
      </c>
      <c r="AK54" s="99" t="str">
        <f t="shared" ref="AK54:AK56" si="128">IF(AJ54="Siempre se ejecuta","Fuerte",IF(AJ54="Algunas veces","Moderado",IF(AJ54="no se ejecuta","Débil","")))</f>
        <v>Fuerte</v>
      </c>
      <c r="AL54" s="99" t="str">
        <f t="shared" ref="AL54:AL56" si="129">AI54&amp;AK54</f>
        <v>ModeradoFuerte</v>
      </c>
      <c r="AM54" s="99" t="str">
        <f>IFERROR(VLOOKUP(AL54,[8]FORMULAS!$B$69:$D$77,3,FALSE),"")</f>
        <v>Moderado</v>
      </c>
      <c r="AN54" s="99">
        <f t="shared" ref="AN54:AN56" si="130">IF(AM54="fuerte",100,IF(AM54="Moderado",50,IF(AM54="débil",0,"")))</f>
        <v>50</v>
      </c>
      <c r="AO54" s="99" t="str">
        <f>IFERROR(VLOOKUP(AL54,[8]FORMULAS!$B$69:$C$77,2,FALSE),"")</f>
        <v>Sí</v>
      </c>
      <c r="AP54" s="400"/>
      <c r="AQ54" s="400"/>
      <c r="AR54" s="403"/>
      <c r="AS54" s="403"/>
      <c r="AT54" s="400"/>
      <c r="AU54" s="400"/>
      <c r="AV54" s="400"/>
      <c r="AW54" s="341"/>
      <c r="AX54" s="341"/>
      <c r="AY54" s="564"/>
      <c r="AZ54" s="569"/>
      <c r="BA54" s="566"/>
      <c r="BB54" s="81" t="s">
        <v>559</v>
      </c>
      <c r="BC54" s="84" t="s">
        <v>560</v>
      </c>
      <c r="BD54" s="84" t="s">
        <v>538</v>
      </c>
      <c r="BE54" s="123" t="s">
        <v>334</v>
      </c>
      <c r="BF54" s="549"/>
      <c r="BG54" s="195" t="s">
        <v>565</v>
      </c>
      <c r="BH54" s="84" t="s">
        <v>566</v>
      </c>
      <c r="BI54" s="84" t="s">
        <v>548</v>
      </c>
      <c r="BJ54" s="155" t="s">
        <v>564</v>
      </c>
    </row>
    <row r="55" spans="2:63" s="86" customFormat="1" ht="20.100000000000001" customHeight="1" x14ac:dyDescent="0.25">
      <c r="B55" s="559"/>
      <c r="C55" s="341"/>
      <c r="D55" s="353"/>
      <c r="E55" s="353"/>
      <c r="F55" s="341"/>
      <c r="G55" s="341"/>
      <c r="H55" s="353"/>
      <c r="I55" s="561"/>
      <c r="J55" s="561"/>
      <c r="K55" s="80"/>
      <c r="L55" s="353"/>
      <c r="M55" s="564"/>
      <c r="N55" s="341"/>
      <c r="O55" s="341"/>
      <c r="P55" s="564"/>
      <c r="Q55" s="566"/>
      <c r="R55" s="567"/>
      <c r="S55" s="568"/>
      <c r="T55" s="96"/>
      <c r="U55" s="95">
        <f t="shared" si="121"/>
        <v>0</v>
      </c>
      <c r="V55" s="96"/>
      <c r="W55" s="95">
        <f t="shared" si="122"/>
        <v>0</v>
      </c>
      <c r="X55" s="96"/>
      <c r="Y55" s="95">
        <f t="shared" si="123"/>
        <v>0</v>
      </c>
      <c r="Z55" s="96"/>
      <c r="AA55" s="95">
        <f t="shared" si="124"/>
        <v>0</v>
      </c>
      <c r="AB55" s="96"/>
      <c r="AC55" s="95">
        <f t="shared" si="125"/>
        <v>0</v>
      </c>
      <c r="AD55" s="96"/>
      <c r="AE55" s="95">
        <f t="shared" si="126"/>
        <v>0</v>
      </c>
      <c r="AF55" s="96"/>
      <c r="AG55" s="95">
        <f t="shared" si="127"/>
        <v>0</v>
      </c>
      <c r="AH55" s="99">
        <f t="shared" si="79"/>
        <v>0</v>
      </c>
      <c r="AI55" s="99" t="str">
        <f t="shared" ref="AI55:AI56" si="131">IF(AH55&gt;=96,"Fuerte",IF(AH55&gt;=86,"Moderado",IF(AH55&gt;=1,"Débil","")))</f>
        <v/>
      </c>
      <c r="AJ55" s="98"/>
      <c r="AK55" s="99" t="str">
        <f t="shared" si="128"/>
        <v/>
      </c>
      <c r="AL55" s="99" t="str">
        <f t="shared" si="129"/>
        <v/>
      </c>
      <c r="AM55" s="99" t="str">
        <f>IFERROR(VLOOKUP(AL55,[8]FORMULAS!$B$69:$D$77,3,FALSE),"")</f>
        <v/>
      </c>
      <c r="AN55" s="99" t="str">
        <f t="shared" si="130"/>
        <v/>
      </c>
      <c r="AO55" s="99" t="str">
        <f>IFERROR(VLOOKUP(AL55,[8]FORMULAS!$B$69:$C$77,2,FALSE),"")</f>
        <v/>
      </c>
      <c r="AP55" s="400"/>
      <c r="AQ55" s="400"/>
      <c r="AR55" s="403"/>
      <c r="AS55" s="403"/>
      <c r="AT55" s="400"/>
      <c r="AU55" s="400"/>
      <c r="AV55" s="400"/>
      <c r="AW55" s="341"/>
      <c r="AX55" s="341"/>
      <c r="AY55" s="564"/>
      <c r="AZ55" s="569"/>
      <c r="BA55" s="566"/>
      <c r="BB55" s="81"/>
      <c r="BC55" s="82"/>
      <c r="BD55" s="82"/>
      <c r="BE55" s="123"/>
      <c r="BF55" s="549"/>
      <c r="BG55" s="195"/>
      <c r="BH55" s="82"/>
      <c r="BI55" s="82"/>
      <c r="BJ55" s="155"/>
    </row>
    <row r="56" spans="2:63" s="86" customFormat="1" ht="20.100000000000001" customHeight="1" thickBot="1" x14ac:dyDescent="0.3">
      <c r="B56" s="558"/>
      <c r="C56" s="342"/>
      <c r="D56" s="354"/>
      <c r="E56" s="354"/>
      <c r="F56" s="342"/>
      <c r="G56" s="342"/>
      <c r="H56" s="354"/>
      <c r="I56" s="562"/>
      <c r="J56" s="562"/>
      <c r="K56" s="124"/>
      <c r="L56" s="354"/>
      <c r="M56" s="565"/>
      <c r="N56" s="342"/>
      <c r="O56" s="342"/>
      <c r="P56" s="565"/>
      <c r="Q56" s="554"/>
      <c r="R56" s="555"/>
      <c r="S56" s="556"/>
      <c r="T56" s="125"/>
      <c r="U56" s="126">
        <f t="shared" si="121"/>
        <v>0</v>
      </c>
      <c r="V56" s="125"/>
      <c r="W56" s="126">
        <f t="shared" si="122"/>
        <v>0</v>
      </c>
      <c r="X56" s="125"/>
      <c r="Y56" s="126">
        <f t="shared" si="123"/>
        <v>0</v>
      </c>
      <c r="Z56" s="125"/>
      <c r="AA56" s="126">
        <f t="shared" si="124"/>
        <v>0</v>
      </c>
      <c r="AB56" s="125"/>
      <c r="AC56" s="126">
        <f t="shared" si="125"/>
        <v>0</v>
      </c>
      <c r="AD56" s="125"/>
      <c r="AE56" s="126">
        <f t="shared" si="126"/>
        <v>0</v>
      </c>
      <c r="AF56" s="125"/>
      <c r="AG56" s="126">
        <f t="shared" si="127"/>
        <v>0</v>
      </c>
      <c r="AH56" s="127">
        <f t="shared" si="79"/>
        <v>0</v>
      </c>
      <c r="AI56" s="127" t="str">
        <f t="shared" si="131"/>
        <v/>
      </c>
      <c r="AJ56" s="128"/>
      <c r="AK56" s="127" t="str">
        <f t="shared" si="128"/>
        <v/>
      </c>
      <c r="AL56" s="127" t="str">
        <f t="shared" si="129"/>
        <v/>
      </c>
      <c r="AM56" s="127" t="str">
        <f>IFERROR(VLOOKUP(AL56,[8]FORMULAS!$B$69:$D$77,3,FALSE),"")</f>
        <v/>
      </c>
      <c r="AN56" s="127" t="str">
        <f t="shared" si="130"/>
        <v/>
      </c>
      <c r="AO56" s="127" t="str">
        <f>IFERROR(VLOOKUP(AL56,[8]FORMULAS!$B$69:$C$77,2,FALSE),"")</f>
        <v/>
      </c>
      <c r="AP56" s="401"/>
      <c r="AQ56" s="401"/>
      <c r="AR56" s="404"/>
      <c r="AS56" s="404"/>
      <c r="AT56" s="401"/>
      <c r="AU56" s="401"/>
      <c r="AV56" s="401"/>
      <c r="AW56" s="342"/>
      <c r="AX56" s="342"/>
      <c r="AY56" s="565"/>
      <c r="AZ56" s="552"/>
      <c r="BA56" s="554"/>
      <c r="BB56" s="131"/>
      <c r="BC56" s="132"/>
      <c r="BD56" s="132"/>
      <c r="BE56" s="133"/>
      <c r="BF56" s="549"/>
      <c r="BG56" s="196"/>
      <c r="BH56" s="132"/>
      <c r="BI56" s="132"/>
      <c r="BJ56" s="156"/>
    </row>
    <row r="57" spans="2:63" s="86" customFormat="1" ht="20.100000000000001" customHeight="1" x14ac:dyDescent="0.25">
      <c r="B57" s="557" t="s">
        <v>74</v>
      </c>
      <c r="C57" s="339">
        <v>14</v>
      </c>
      <c r="D57" s="352" t="s">
        <v>567</v>
      </c>
      <c r="E57" s="352" t="s">
        <v>568</v>
      </c>
      <c r="F57" s="339" t="s">
        <v>91</v>
      </c>
      <c r="G57" s="339" t="s">
        <v>101</v>
      </c>
      <c r="H57" s="352" t="s">
        <v>569</v>
      </c>
      <c r="I57" s="560" t="s">
        <v>129</v>
      </c>
      <c r="J57" s="560" t="s">
        <v>116</v>
      </c>
      <c r="K57" s="109" t="s">
        <v>570</v>
      </c>
      <c r="L57" s="352" t="s">
        <v>571</v>
      </c>
      <c r="M57" s="563" t="str">
        <f>IF(F57="gestion","impacto",IF(F57="corrupcion","impactocorrupcion",IF(F57="seguridad_de_la_informacion","impacto","")))</f>
        <v>impacto</v>
      </c>
      <c r="N57" s="339" t="s">
        <v>134</v>
      </c>
      <c r="O57" s="339" t="s">
        <v>22</v>
      </c>
      <c r="P57" s="563" t="str">
        <f>N57&amp;O57</f>
        <v>Rara vezMenor</v>
      </c>
      <c r="Q57" s="553" t="str">
        <f>IFERROR(VLOOKUP(P57,[8]FORMULAS!$B$37:$C$61,2,FALSE),"")</f>
        <v>Riesgo bajo</v>
      </c>
      <c r="R57" s="466" t="s">
        <v>572</v>
      </c>
      <c r="S57" s="467"/>
      <c r="T57" s="112" t="s">
        <v>286</v>
      </c>
      <c r="U57" s="113">
        <f>IF(T57="Asignado",15,0)</f>
        <v>15</v>
      </c>
      <c r="V57" s="112" t="s">
        <v>287</v>
      </c>
      <c r="W57" s="113">
        <f>IF(V57="Adecuado",15,0)</f>
        <v>15</v>
      </c>
      <c r="X57" s="112" t="s">
        <v>288</v>
      </c>
      <c r="Y57" s="113">
        <f>IF(X57="Oportuna",15,0)</f>
        <v>15</v>
      </c>
      <c r="Z57" s="112" t="s">
        <v>341</v>
      </c>
      <c r="AA57" s="113">
        <f>IF(Z57="Prevenir",15,IF(Z57="Detectar",10,0))</f>
        <v>10</v>
      </c>
      <c r="AB57" s="112" t="s">
        <v>290</v>
      </c>
      <c r="AC57" s="113">
        <f>IF(AB57="Confiable",15,0)</f>
        <v>15</v>
      </c>
      <c r="AD57" s="112" t="s">
        <v>292</v>
      </c>
      <c r="AE57" s="113">
        <f>IF(AD57="Se investigan y resuelven oportunamente",15,0)</f>
        <v>15</v>
      </c>
      <c r="AF57" s="112" t="s">
        <v>289</v>
      </c>
      <c r="AG57" s="113">
        <f>IF(AF57="Completa",10,IF(AF57="incompleta",5,0))</f>
        <v>10</v>
      </c>
      <c r="AH57" s="114">
        <f t="shared" si="79"/>
        <v>95</v>
      </c>
      <c r="AI57" s="114" t="str">
        <f>IF(AH57&gt;=96,"Fuerte",IF(AH57&gt;=86,"Moderado",IF(AH57&gt;=1,"Débil","")))</f>
        <v>Moderado</v>
      </c>
      <c r="AJ57" s="115" t="s">
        <v>293</v>
      </c>
      <c r="AK57" s="114" t="str">
        <f>IF(AJ57="Siempre se ejecuta","Fuerte",IF(AJ57="Algunas veces","Moderado",IF(AJ57="no se ejecuta","Débil","")))</f>
        <v>Fuerte</v>
      </c>
      <c r="AL57" s="114" t="str">
        <f>AI57&amp;AK57</f>
        <v>ModeradoFuerte</v>
      </c>
      <c r="AM57" s="114" t="str">
        <f>IFERROR(VLOOKUP(AL57,[8]FORMULAS!$B$69:$D$77,3,FALSE),"")</f>
        <v>Moderado</v>
      </c>
      <c r="AN57" s="114">
        <f>IF(AM57="fuerte",100,IF(AM57="Moderado",50,IF(AM57="débil",0,"")))</f>
        <v>50</v>
      </c>
      <c r="AO57" s="114" t="str">
        <f>IFERROR(VLOOKUP(AL57,[8]FORMULAS!$B$69:$D$77,2,FALSE),"")</f>
        <v>Sí</v>
      </c>
      <c r="AP57" s="399">
        <f>IFERROR(AVERAGE(AN57:AN60),0)</f>
        <v>75</v>
      </c>
      <c r="AQ57" s="399" t="str">
        <f>IF(AP57&gt;=100,"Fuerte",IF(AP57&gt;=50,"Moderado",IF(AP57&gt;=1,"Débil","")))</f>
        <v>Moderado</v>
      </c>
      <c r="AR57" s="402" t="s">
        <v>160</v>
      </c>
      <c r="AS57" s="402" t="s">
        <v>162</v>
      </c>
      <c r="AT57" s="399" t="str">
        <f>+AQ57&amp;AR57&amp;AS57</f>
        <v>ModeradoDirectamenteIndirectamente</v>
      </c>
      <c r="AU57" s="399">
        <f>IFERROR(VLOOKUP(AT57,[8]FORMULAS!$B$94:$D$101,2,FALSE),0)</f>
        <v>1</v>
      </c>
      <c r="AV57" s="399">
        <f>IFERROR(VLOOKUP(AT57,[8]FORMULAS!$B$94:$D$101,3,FALSE),0)</f>
        <v>0</v>
      </c>
      <c r="AW57" s="339" t="s">
        <v>134</v>
      </c>
      <c r="AX57" s="339" t="s">
        <v>22</v>
      </c>
      <c r="AY57" s="563" t="str">
        <f>AW57&amp;AX57</f>
        <v>Rara vezMenor</v>
      </c>
      <c r="AZ57" s="551" t="str">
        <f>IFERROR(VLOOKUP(AY57,[8]FORMULAS!$B$37:$C$61,2,FALSE),"")</f>
        <v>Riesgo bajo</v>
      </c>
      <c r="BA57" s="553" t="s">
        <v>166</v>
      </c>
      <c r="BB57" s="153" t="s">
        <v>573</v>
      </c>
      <c r="BC57" s="119" t="s">
        <v>574</v>
      </c>
      <c r="BD57" s="119" t="s">
        <v>548</v>
      </c>
      <c r="BE57" s="120" t="s">
        <v>334</v>
      </c>
      <c r="BF57" s="549"/>
      <c r="BG57" s="542" t="s">
        <v>579</v>
      </c>
      <c r="BH57" s="333" t="s">
        <v>566</v>
      </c>
      <c r="BI57" s="333" t="s">
        <v>548</v>
      </c>
      <c r="BJ57" s="333" t="s">
        <v>564</v>
      </c>
      <c r="BK57" s="336" t="s">
        <v>329</v>
      </c>
    </row>
    <row r="58" spans="2:63" s="86" customFormat="1" ht="20.100000000000001" customHeight="1" x14ac:dyDescent="0.25">
      <c r="B58" s="559"/>
      <c r="C58" s="341"/>
      <c r="D58" s="353"/>
      <c r="E58" s="353"/>
      <c r="F58" s="341"/>
      <c r="G58" s="341"/>
      <c r="H58" s="353"/>
      <c r="I58" s="561"/>
      <c r="J58" s="561"/>
      <c r="K58" s="121" t="s">
        <v>373</v>
      </c>
      <c r="L58" s="353"/>
      <c r="M58" s="564"/>
      <c r="N58" s="341"/>
      <c r="O58" s="341"/>
      <c r="P58" s="564"/>
      <c r="Q58" s="566"/>
      <c r="R58" s="567" t="s">
        <v>575</v>
      </c>
      <c r="S58" s="568"/>
      <c r="T58" s="96" t="s">
        <v>286</v>
      </c>
      <c r="U58" s="95">
        <f t="shared" ref="U58:U60" si="132">IF(T58="Asignado",15,0)</f>
        <v>15</v>
      </c>
      <c r="V58" s="96" t="s">
        <v>287</v>
      </c>
      <c r="W58" s="95">
        <f t="shared" ref="W58:W60" si="133">IF(V58="Adecuado",15,0)</f>
        <v>15</v>
      </c>
      <c r="X58" s="96" t="s">
        <v>288</v>
      </c>
      <c r="Y58" s="95">
        <f t="shared" ref="Y58:Y60" si="134">IF(X58="Oportuna",15,0)</f>
        <v>15</v>
      </c>
      <c r="Z58" s="96" t="s">
        <v>291</v>
      </c>
      <c r="AA58" s="95">
        <f t="shared" ref="AA58:AA60" si="135">IF(Z58="Prevenir",15,IF(Z58="Detectar",10,0))</f>
        <v>15</v>
      </c>
      <c r="AB58" s="96" t="s">
        <v>290</v>
      </c>
      <c r="AC58" s="95">
        <f t="shared" ref="AC58:AC60" si="136">IF(AB58="Confiable",15,0)</f>
        <v>15</v>
      </c>
      <c r="AD58" s="96" t="s">
        <v>292</v>
      </c>
      <c r="AE58" s="95">
        <f t="shared" ref="AE58:AE60" si="137">IF(AD58="Se investigan y resuelven oportunamente",15,0)</f>
        <v>15</v>
      </c>
      <c r="AF58" s="96" t="s">
        <v>289</v>
      </c>
      <c r="AG58" s="95">
        <f t="shared" ref="AG58:AG60" si="138">IF(AF58="Completa",10,IF(AF58="incompleta",5,0))</f>
        <v>10</v>
      </c>
      <c r="AH58" s="99">
        <f t="shared" si="79"/>
        <v>100</v>
      </c>
      <c r="AI58" s="99" t="str">
        <f>IF(AH58&gt;=96,"Fuerte",IF(AH58&gt;=86,"Moderado",IF(AH58&gt;=1,"Débil","")))</f>
        <v>Fuerte</v>
      </c>
      <c r="AJ58" s="98" t="s">
        <v>293</v>
      </c>
      <c r="AK58" s="99" t="str">
        <f t="shared" ref="AK58:AK60" si="139">IF(AJ58="Siempre se ejecuta","Fuerte",IF(AJ58="Algunas veces","Moderado",IF(AJ58="no se ejecuta","Débil","")))</f>
        <v>Fuerte</v>
      </c>
      <c r="AL58" s="99" t="str">
        <f t="shared" ref="AL58:AL60" si="140">AI58&amp;AK58</f>
        <v>FuerteFuerte</v>
      </c>
      <c r="AM58" s="99" t="str">
        <f>IFERROR(VLOOKUP(AL58,[8]FORMULAS!$B$69:$D$77,3,FALSE),"")</f>
        <v>Fuerte</v>
      </c>
      <c r="AN58" s="99">
        <f t="shared" ref="AN58:AN60" si="141">IF(AM58="fuerte",100,IF(AM58="Moderado",50,IF(AM58="débil",0,"")))</f>
        <v>100</v>
      </c>
      <c r="AO58" s="99" t="str">
        <f>IFERROR(VLOOKUP(AL58,[8]FORMULAS!$B$69:$C$77,2,FALSE),"")</f>
        <v>No</v>
      </c>
      <c r="AP58" s="400"/>
      <c r="AQ58" s="400"/>
      <c r="AR58" s="403"/>
      <c r="AS58" s="403"/>
      <c r="AT58" s="400"/>
      <c r="AU58" s="400"/>
      <c r="AV58" s="400"/>
      <c r="AW58" s="341"/>
      <c r="AX58" s="341"/>
      <c r="AY58" s="564"/>
      <c r="AZ58" s="569"/>
      <c r="BA58" s="566"/>
      <c r="BB58" s="81" t="s">
        <v>576</v>
      </c>
      <c r="BC58" s="84" t="s">
        <v>577</v>
      </c>
      <c r="BD58" s="84" t="s">
        <v>548</v>
      </c>
      <c r="BE58" s="123" t="s">
        <v>578</v>
      </c>
      <c r="BF58" s="549"/>
      <c r="BG58" s="543"/>
      <c r="BH58" s="334"/>
      <c r="BI58" s="334"/>
      <c r="BJ58" s="334"/>
      <c r="BK58" s="337"/>
    </row>
    <row r="59" spans="2:63" s="86" customFormat="1" ht="20.100000000000001" customHeight="1" x14ac:dyDescent="0.25">
      <c r="B59" s="559"/>
      <c r="C59" s="341"/>
      <c r="D59" s="353"/>
      <c r="E59" s="353"/>
      <c r="F59" s="341"/>
      <c r="G59" s="341"/>
      <c r="H59" s="353"/>
      <c r="I59" s="561"/>
      <c r="J59" s="561"/>
      <c r="K59" s="197"/>
      <c r="L59" s="353"/>
      <c r="M59" s="564"/>
      <c r="N59" s="341"/>
      <c r="O59" s="341"/>
      <c r="P59" s="564"/>
      <c r="Q59" s="566"/>
      <c r="R59" s="567"/>
      <c r="S59" s="568"/>
      <c r="T59" s="96"/>
      <c r="U59" s="95">
        <f t="shared" si="132"/>
        <v>0</v>
      </c>
      <c r="V59" s="96"/>
      <c r="W59" s="95">
        <f t="shared" si="133"/>
        <v>0</v>
      </c>
      <c r="X59" s="96"/>
      <c r="Y59" s="95">
        <f t="shared" si="134"/>
        <v>0</v>
      </c>
      <c r="Z59" s="96"/>
      <c r="AA59" s="95">
        <f t="shared" si="135"/>
        <v>0</v>
      </c>
      <c r="AB59" s="96"/>
      <c r="AC59" s="95">
        <f t="shared" si="136"/>
        <v>0</v>
      </c>
      <c r="AD59" s="96"/>
      <c r="AE59" s="95">
        <f t="shared" si="137"/>
        <v>0</v>
      </c>
      <c r="AF59" s="96"/>
      <c r="AG59" s="95">
        <f t="shared" si="138"/>
        <v>0</v>
      </c>
      <c r="AH59" s="99">
        <f t="shared" si="79"/>
        <v>0</v>
      </c>
      <c r="AI59" s="99" t="str">
        <f t="shared" ref="AI59:AI60" si="142">IF(AH59&gt;=96,"Fuerte",IF(AH59&gt;=86,"Moderado",IF(AH59&gt;=1,"Débil","")))</f>
        <v/>
      </c>
      <c r="AJ59" s="98"/>
      <c r="AK59" s="99" t="str">
        <f t="shared" si="139"/>
        <v/>
      </c>
      <c r="AL59" s="99" t="str">
        <f t="shared" si="140"/>
        <v/>
      </c>
      <c r="AM59" s="99" t="str">
        <f>IFERROR(VLOOKUP(AL59,[8]FORMULAS!$B$69:$D$77,3,FALSE),"")</f>
        <v/>
      </c>
      <c r="AN59" s="99" t="str">
        <f t="shared" si="141"/>
        <v/>
      </c>
      <c r="AO59" s="99" t="str">
        <f>IFERROR(VLOOKUP(AL59,[8]FORMULAS!$B$69:$C$77,2,FALSE),"")</f>
        <v/>
      </c>
      <c r="AP59" s="400"/>
      <c r="AQ59" s="400"/>
      <c r="AR59" s="403"/>
      <c r="AS59" s="403"/>
      <c r="AT59" s="400"/>
      <c r="AU59" s="400"/>
      <c r="AV59" s="400"/>
      <c r="AW59" s="341"/>
      <c r="AX59" s="341"/>
      <c r="AY59" s="564"/>
      <c r="AZ59" s="569"/>
      <c r="BA59" s="566"/>
      <c r="BB59" s="81"/>
      <c r="BC59" s="82"/>
      <c r="BD59" s="82"/>
      <c r="BE59" s="123"/>
      <c r="BF59" s="549"/>
      <c r="BG59" s="543"/>
      <c r="BH59" s="334"/>
      <c r="BI59" s="334"/>
      <c r="BJ59" s="334"/>
      <c r="BK59" s="337"/>
    </row>
    <row r="60" spans="2:63" s="86" customFormat="1" ht="20.100000000000001" customHeight="1" thickBot="1" x14ac:dyDescent="0.3">
      <c r="B60" s="558"/>
      <c r="C60" s="342"/>
      <c r="D60" s="354"/>
      <c r="E60" s="354"/>
      <c r="F60" s="342"/>
      <c r="G60" s="342"/>
      <c r="H60" s="354"/>
      <c r="I60" s="562"/>
      <c r="J60" s="562"/>
      <c r="K60" s="124"/>
      <c r="L60" s="354"/>
      <c r="M60" s="565"/>
      <c r="N60" s="342"/>
      <c r="O60" s="342"/>
      <c r="P60" s="565"/>
      <c r="Q60" s="554"/>
      <c r="R60" s="555"/>
      <c r="S60" s="556"/>
      <c r="T60" s="125"/>
      <c r="U60" s="126">
        <f t="shared" si="132"/>
        <v>0</v>
      </c>
      <c r="V60" s="125"/>
      <c r="W60" s="126">
        <f t="shared" si="133"/>
        <v>0</v>
      </c>
      <c r="X60" s="125"/>
      <c r="Y60" s="126">
        <f t="shared" si="134"/>
        <v>0</v>
      </c>
      <c r="Z60" s="125"/>
      <c r="AA60" s="126">
        <f t="shared" si="135"/>
        <v>0</v>
      </c>
      <c r="AB60" s="125"/>
      <c r="AC60" s="126">
        <f t="shared" si="136"/>
        <v>0</v>
      </c>
      <c r="AD60" s="125"/>
      <c r="AE60" s="126">
        <f t="shared" si="137"/>
        <v>0</v>
      </c>
      <c r="AF60" s="125"/>
      <c r="AG60" s="126">
        <f t="shared" si="138"/>
        <v>0</v>
      </c>
      <c r="AH60" s="127">
        <f t="shared" si="79"/>
        <v>0</v>
      </c>
      <c r="AI60" s="127" t="str">
        <f t="shared" si="142"/>
        <v/>
      </c>
      <c r="AJ60" s="128"/>
      <c r="AK60" s="127" t="str">
        <f t="shared" si="139"/>
        <v/>
      </c>
      <c r="AL60" s="127" t="str">
        <f t="shared" si="140"/>
        <v/>
      </c>
      <c r="AM60" s="127" t="str">
        <f>IFERROR(VLOOKUP(AL60,[8]FORMULAS!$B$69:$D$77,3,FALSE),"")</f>
        <v/>
      </c>
      <c r="AN60" s="127" t="str">
        <f t="shared" si="141"/>
        <v/>
      </c>
      <c r="AO60" s="127" t="str">
        <f>IFERROR(VLOOKUP(AL60,[8]FORMULAS!$B$69:$C$77,2,FALSE),"")</f>
        <v/>
      </c>
      <c r="AP60" s="401"/>
      <c r="AQ60" s="401"/>
      <c r="AR60" s="404"/>
      <c r="AS60" s="404"/>
      <c r="AT60" s="401"/>
      <c r="AU60" s="401"/>
      <c r="AV60" s="401"/>
      <c r="AW60" s="342"/>
      <c r="AX60" s="342"/>
      <c r="AY60" s="565"/>
      <c r="AZ60" s="552"/>
      <c r="BA60" s="554"/>
      <c r="BB60" s="131"/>
      <c r="BC60" s="132"/>
      <c r="BD60" s="132"/>
      <c r="BE60" s="133"/>
      <c r="BF60" s="550"/>
      <c r="BG60" s="544"/>
      <c r="BH60" s="335"/>
      <c r="BI60" s="335"/>
      <c r="BJ60" s="335"/>
      <c r="BK60" s="338"/>
    </row>
    <row r="61" spans="2:63" s="86" customFormat="1" ht="127.5" customHeight="1" x14ac:dyDescent="0.25">
      <c r="B61" s="376" t="s">
        <v>76</v>
      </c>
      <c r="C61" s="361">
        <v>15</v>
      </c>
      <c r="D61" s="373" t="s">
        <v>596</v>
      </c>
      <c r="E61" s="373"/>
      <c r="F61" s="361" t="s">
        <v>89</v>
      </c>
      <c r="G61" s="361"/>
      <c r="H61" s="373" t="s">
        <v>532</v>
      </c>
      <c r="I61" s="379"/>
      <c r="J61" s="379"/>
      <c r="K61" s="121" t="s">
        <v>581</v>
      </c>
      <c r="L61" s="199"/>
      <c r="M61" s="364" t="str">
        <f>IF(F61="gestion","impacto",IF(F61="corrupcion","impactocorrupcion",IF(F61="seguridad_de_la_informacion","impacto","")))</f>
        <v>impacto</v>
      </c>
      <c r="N61" s="361"/>
      <c r="O61" s="361"/>
      <c r="P61" s="364" t="str">
        <f>N61&amp;O61</f>
        <v/>
      </c>
      <c r="Q61" s="370" t="str">
        <f>IFERROR(VLOOKUP(P61,FORMULAS!$B$37:$C$61,2,FALSE),"")</f>
        <v/>
      </c>
      <c r="R61" s="466"/>
      <c r="S61" s="467"/>
      <c r="T61" s="112"/>
      <c r="U61" s="113">
        <f>IF(T61="Asignado",15,0)</f>
        <v>0</v>
      </c>
      <c r="V61" s="112"/>
      <c r="W61" s="113">
        <f>IF(V61="Adecuado",15,0)</f>
        <v>0</v>
      </c>
      <c r="X61" s="112"/>
      <c r="Y61" s="113">
        <f>IF(X61="Oportuna",15,0)</f>
        <v>0</v>
      </c>
      <c r="Z61" s="112"/>
      <c r="AA61" s="113">
        <f>IF(Z61="Prevenir",15,IF(Z61="Detectar",10,0))</f>
        <v>0</v>
      </c>
      <c r="AB61" s="112"/>
      <c r="AC61" s="113">
        <f>IF(AB61="Confiable",15,0)</f>
        <v>0</v>
      </c>
      <c r="AD61" s="112"/>
      <c r="AE61" s="113">
        <f>IF(AD61="Se investigan y resuelven oportunamente",15,0)</f>
        <v>0</v>
      </c>
      <c r="AF61" s="112"/>
      <c r="AG61" s="113">
        <f>IF(AF61="Completa",10,IF(AF61="incompleta",5,0))</f>
        <v>0</v>
      </c>
      <c r="AH61" s="114">
        <f t="shared" ref="AH61:AH80" si="143">U61+W61+Y61+AA61+AC61+AE61+AG61</f>
        <v>0</v>
      </c>
      <c r="AI61" s="114" t="str">
        <f>IF(AH61&gt;=96,"Fuerte",IF(AH61&gt;=86,"Moderado",IF(AH61&gt;=1,"Débil","")))</f>
        <v/>
      </c>
      <c r="AJ61" s="115"/>
      <c r="AK61" s="114" t="str">
        <f>IF(AJ61="Siempre se ejecuta","Fuerte",IF(AJ61="Algunas veces","Moderado",IF(AJ61="no se ejecuta","Débil","")))</f>
        <v/>
      </c>
      <c r="AL61" s="114" t="str">
        <f>AI61&amp;AK61</f>
        <v/>
      </c>
      <c r="AM61" s="114" t="str">
        <f>IFERROR(VLOOKUP(AL61,FORMULAS!$B$69:$D$77,3,FALSE),"")</f>
        <v/>
      </c>
      <c r="AN61" s="114" t="str">
        <f>IF(AM61="fuerte",100,IF(AM61="Moderado",50,IF(AM61="débil",0,"")))</f>
        <v/>
      </c>
      <c r="AO61" s="114" t="str">
        <f>IFERROR(VLOOKUP(AL61,FORMULAS!$B$69:$D$77,2,FALSE),"")</f>
        <v/>
      </c>
      <c r="AP61" s="358">
        <f>IFERROR(AVERAGE(AN61:AN64),0)</f>
        <v>0</v>
      </c>
      <c r="AQ61" s="358" t="str">
        <f>IF(AP61&gt;=100,"Fuerte",IF(AP61&gt;=50,"Moderado",IF(AP61&gt;=1,"Débil","")))</f>
        <v/>
      </c>
      <c r="AR61" s="355"/>
      <c r="AS61" s="355"/>
      <c r="AT61" s="358" t="str">
        <f>+AQ61&amp;AR61&amp;AS61</f>
        <v/>
      </c>
      <c r="AU61" s="358">
        <f>IFERROR(VLOOKUP(AT61,FORMULAS!$B$94:$D$101,2,FALSE),0)</f>
        <v>0</v>
      </c>
      <c r="AV61" s="358">
        <f>IFERROR(VLOOKUP(AT61,FORMULAS!$B$94:$D$101,3,FALSE),0)</f>
        <v>0</v>
      </c>
      <c r="AW61" s="361" t="s">
        <v>18</v>
      </c>
      <c r="AX61" s="361" t="s">
        <v>22</v>
      </c>
      <c r="AY61" s="364" t="str">
        <f>AW61&amp;AX61</f>
        <v>PosibleMenor</v>
      </c>
      <c r="AZ61" s="367" t="str">
        <f>IFERROR(VLOOKUP(AY61,FORMULAS!$B$37:$C$61,2,FALSE),"")</f>
        <v>Riesgo moderado</v>
      </c>
      <c r="BA61" s="370" t="s">
        <v>167</v>
      </c>
      <c r="BB61" s="81" t="s">
        <v>582</v>
      </c>
      <c r="BC61" s="84" t="s">
        <v>583</v>
      </c>
      <c r="BD61" s="84" t="s">
        <v>584</v>
      </c>
      <c r="BE61" s="83" t="s">
        <v>585</v>
      </c>
      <c r="BF61" s="157"/>
      <c r="BG61" s="597" t="s">
        <v>586</v>
      </c>
      <c r="BH61" s="597" t="s">
        <v>587</v>
      </c>
      <c r="BI61" s="597" t="s">
        <v>588</v>
      </c>
      <c r="BJ61" s="597" t="s">
        <v>589</v>
      </c>
    </row>
    <row r="62" spans="2:63" s="86" customFormat="1" ht="142.5" customHeight="1" x14ac:dyDescent="0.25">
      <c r="B62" s="377"/>
      <c r="C62" s="362"/>
      <c r="D62" s="374"/>
      <c r="E62" s="374"/>
      <c r="F62" s="362"/>
      <c r="G62" s="362"/>
      <c r="H62" s="374"/>
      <c r="I62" s="380"/>
      <c r="J62" s="380"/>
      <c r="K62" s="121" t="s">
        <v>590</v>
      </c>
      <c r="L62" s="80"/>
      <c r="M62" s="365"/>
      <c r="N62" s="362"/>
      <c r="O62" s="362"/>
      <c r="P62" s="365"/>
      <c r="Q62" s="371"/>
      <c r="R62" s="567"/>
      <c r="S62" s="568"/>
      <c r="T62" s="96"/>
      <c r="U62" s="95">
        <f t="shared" ref="U62:U64" si="144">IF(T62="Asignado",15,0)</f>
        <v>0</v>
      </c>
      <c r="V62" s="96"/>
      <c r="W62" s="95">
        <f t="shared" ref="W62:W64" si="145">IF(V62="Adecuado",15,0)</f>
        <v>0</v>
      </c>
      <c r="X62" s="96"/>
      <c r="Y62" s="95">
        <f t="shared" ref="Y62:Y64" si="146">IF(X62="Oportuna",15,0)</f>
        <v>0</v>
      </c>
      <c r="Z62" s="96"/>
      <c r="AA62" s="95">
        <f t="shared" ref="AA62:AA64" si="147">IF(Z62="Prevenir",15,IF(Z62="Detectar",10,0))</f>
        <v>0</v>
      </c>
      <c r="AB62" s="96"/>
      <c r="AC62" s="95">
        <f t="shared" ref="AC62:AC64" si="148">IF(AB62="Confiable",15,0)</f>
        <v>0</v>
      </c>
      <c r="AD62" s="96"/>
      <c r="AE62" s="95">
        <f t="shared" ref="AE62:AE64" si="149">IF(AD62="Se investigan y resuelven oportunamente",15,0)</f>
        <v>0</v>
      </c>
      <c r="AF62" s="96"/>
      <c r="AG62" s="95">
        <f t="shared" ref="AG62:AG64" si="150">IF(AF62="Completa",10,IF(AF62="incompleta",5,0))</f>
        <v>0</v>
      </c>
      <c r="AH62" s="99">
        <f t="shared" si="143"/>
        <v>0</v>
      </c>
      <c r="AI62" s="99" t="str">
        <f>IF(AH62&gt;=96,"Fuerte",IF(AH62&gt;=86,"Moderado",IF(AH62&gt;=1,"Débil","")))</f>
        <v/>
      </c>
      <c r="AJ62" s="98"/>
      <c r="AK62" s="99" t="str">
        <f t="shared" ref="AK62:AK64" si="151">IF(AJ62="Siempre se ejecuta","Fuerte",IF(AJ62="Algunas veces","Moderado",IF(AJ62="no se ejecuta","Débil","")))</f>
        <v/>
      </c>
      <c r="AL62" s="99" t="str">
        <f t="shared" ref="AL62:AL64" si="152">AI62&amp;AK62</f>
        <v/>
      </c>
      <c r="AM62" s="99" t="str">
        <f>IFERROR(VLOOKUP(AL62,FORMULAS!$B$69:$D$77,3,FALSE),"")</f>
        <v/>
      </c>
      <c r="AN62" s="99" t="str">
        <f t="shared" ref="AN62:AN64" si="153">IF(AM62="fuerte",100,IF(AM62="Moderado",50,IF(AM62="débil",0,"")))</f>
        <v/>
      </c>
      <c r="AO62" s="99" t="str">
        <f>IFERROR(VLOOKUP(AL62,FORMULAS!$B$69:$C$77,2,FALSE),"")</f>
        <v/>
      </c>
      <c r="AP62" s="359"/>
      <c r="AQ62" s="359"/>
      <c r="AR62" s="356"/>
      <c r="AS62" s="356"/>
      <c r="AT62" s="359"/>
      <c r="AU62" s="359"/>
      <c r="AV62" s="359"/>
      <c r="AW62" s="362"/>
      <c r="AX62" s="362"/>
      <c r="AY62" s="365"/>
      <c r="AZ62" s="368"/>
      <c r="BA62" s="371"/>
      <c r="BB62" s="81" t="s">
        <v>591</v>
      </c>
      <c r="BC62" s="121" t="s">
        <v>592</v>
      </c>
      <c r="BD62" s="84" t="s">
        <v>584</v>
      </c>
      <c r="BE62" s="83" t="s">
        <v>585</v>
      </c>
      <c r="BF62" s="158"/>
      <c r="BG62" s="411"/>
      <c r="BH62" s="411"/>
      <c r="BI62" s="411"/>
      <c r="BJ62" s="411"/>
    </row>
    <row r="63" spans="2:63" s="86" customFormat="1" ht="61.5" customHeight="1" x14ac:dyDescent="0.25">
      <c r="B63" s="377"/>
      <c r="C63" s="362"/>
      <c r="D63" s="374"/>
      <c r="E63" s="374"/>
      <c r="F63" s="362"/>
      <c r="G63" s="362"/>
      <c r="H63" s="374"/>
      <c r="I63" s="380"/>
      <c r="J63" s="380"/>
      <c r="K63" s="198" t="s">
        <v>593</v>
      </c>
      <c r="L63" s="80"/>
      <c r="M63" s="365"/>
      <c r="N63" s="362"/>
      <c r="O63" s="362"/>
      <c r="P63" s="365"/>
      <c r="Q63" s="371"/>
      <c r="R63" s="567"/>
      <c r="S63" s="568"/>
      <c r="T63" s="96"/>
      <c r="U63" s="95">
        <f t="shared" si="144"/>
        <v>0</v>
      </c>
      <c r="V63" s="96"/>
      <c r="W63" s="95">
        <f t="shared" si="145"/>
        <v>0</v>
      </c>
      <c r="X63" s="96"/>
      <c r="Y63" s="95">
        <f t="shared" si="146"/>
        <v>0</v>
      </c>
      <c r="Z63" s="96"/>
      <c r="AA63" s="95">
        <f t="shared" si="147"/>
        <v>0</v>
      </c>
      <c r="AB63" s="96"/>
      <c r="AC63" s="95">
        <f t="shared" si="148"/>
        <v>0</v>
      </c>
      <c r="AD63" s="96"/>
      <c r="AE63" s="95">
        <f t="shared" si="149"/>
        <v>0</v>
      </c>
      <c r="AF63" s="96"/>
      <c r="AG63" s="95">
        <f t="shared" si="150"/>
        <v>0</v>
      </c>
      <c r="AH63" s="99">
        <f t="shared" si="143"/>
        <v>0</v>
      </c>
      <c r="AI63" s="99" t="str">
        <f t="shared" ref="AI63:AI64" si="154">IF(AH63&gt;=96,"Fuerte",IF(AH63&gt;=86,"Moderado",IF(AH63&gt;=1,"Débil","")))</f>
        <v/>
      </c>
      <c r="AJ63" s="98"/>
      <c r="AK63" s="99" t="str">
        <f t="shared" si="151"/>
        <v/>
      </c>
      <c r="AL63" s="99" t="str">
        <f t="shared" si="152"/>
        <v/>
      </c>
      <c r="AM63" s="99" t="str">
        <f>IFERROR(VLOOKUP(AL63,FORMULAS!$B$69:$D$77,3,FALSE),"")</f>
        <v/>
      </c>
      <c r="AN63" s="99" t="str">
        <f t="shared" si="153"/>
        <v/>
      </c>
      <c r="AO63" s="99" t="str">
        <f>IFERROR(VLOOKUP(AL63,FORMULAS!$B$69:$C$77,2,FALSE),"")</f>
        <v/>
      </c>
      <c r="AP63" s="359"/>
      <c r="AQ63" s="359"/>
      <c r="AR63" s="356"/>
      <c r="AS63" s="356"/>
      <c r="AT63" s="359"/>
      <c r="AU63" s="359"/>
      <c r="AV63" s="359"/>
      <c r="AW63" s="362"/>
      <c r="AX63" s="362"/>
      <c r="AY63" s="365"/>
      <c r="AZ63" s="368"/>
      <c r="BA63" s="371"/>
      <c r="BB63" s="81" t="s">
        <v>594</v>
      </c>
      <c r="BC63" s="198" t="s">
        <v>595</v>
      </c>
      <c r="BD63" s="84" t="s">
        <v>584</v>
      </c>
      <c r="BE63" s="83" t="s">
        <v>585</v>
      </c>
      <c r="BF63" s="158"/>
      <c r="BG63" s="598"/>
      <c r="BH63" s="598"/>
      <c r="BI63" s="598"/>
      <c r="BJ63" s="598"/>
    </row>
    <row r="64" spans="2:63" s="86" customFormat="1" ht="20.100000000000001" customHeight="1" thickBot="1" x14ac:dyDescent="0.3">
      <c r="B64" s="378"/>
      <c r="C64" s="363"/>
      <c r="D64" s="375"/>
      <c r="E64" s="375"/>
      <c r="F64" s="363"/>
      <c r="G64" s="363"/>
      <c r="H64" s="375"/>
      <c r="I64" s="381"/>
      <c r="J64" s="381"/>
      <c r="K64" s="124"/>
      <c r="L64" s="124"/>
      <c r="M64" s="366"/>
      <c r="N64" s="363"/>
      <c r="O64" s="363"/>
      <c r="P64" s="366"/>
      <c r="Q64" s="372"/>
      <c r="R64" s="375"/>
      <c r="S64" s="375"/>
      <c r="T64" s="125"/>
      <c r="U64" s="126">
        <f t="shared" si="144"/>
        <v>0</v>
      </c>
      <c r="V64" s="125"/>
      <c r="W64" s="126">
        <f t="shared" si="145"/>
        <v>0</v>
      </c>
      <c r="X64" s="125"/>
      <c r="Y64" s="126">
        <f t="shared" si="146"/>
        <v>0</v>
      </c>
      <c r="Z64" s="125"/>
      <c r="AA64" s="126">
        <f t="shared" si="147"/>
        <v>0</v>
      </c>
      <c r="AB64" s="125"/>
      <c r="AC64" s="126">
        <f t="shared" si="148"/>
        <v>0</v>
      </c>
      <c r="AD64" s="125"/>
      <c r="AE64" s="126">
        <f t="shared" si="149"/>
        <v>0</v>
      </c>
      <c r="AF64" s="125"/>
      <c r="AG64" s="126">
        <f t="shared" si="150"/>
        <v>0</v>
      </c>
      <c r="AH64" s="127">
        <f t="shared" si="143"/>
        <v>0</v>
      </c>
      <c r="AI64" s="127" t="str">
        <f t="shared" si="154"/>
        <v/>
      </c>
      <c r="AJ64" s="128"/>
      <c r="AK64" s="127" t="str">
        <f t="shared" si="151"/>
        <v/>
      </c>
      <c r="AL64" s="127" t="str">
        <f t="shared" si="152"/>
        <v/>
      </c>
      <c r="AM64" s="127" t="str">
        <f>IFERROR(VLOOKUP(AL64,FORMULAS!$B$69:$D$77,3,FALSE),"")</f>
        <v/>
      </c>
      <c r="AN64" s="127" t="str">
        <f t="shared" si="153"/>
        <v/>
      </c>
      <c r="AO64" s="127" t="str">
        <f>IFERROR(VLOOKUP(AL64,FORMULAS!$B$69:$C$77,2,FALSE),"")</f>
        <v/>
      </c>
      <c r="AP64" s="360"/>
      <c r="AQ64" s="360"/>
      <c r="AR64" s="357"/>
      <c r="AS64" s="357"/>
      <c r="AT64" s="360"/>
      <c r="AU64" s="360"/>
      <c r="AV64" s="360"/>
      <c r="AW64" s="363"/>
      <c r="AX64" s="363"/>
      <c r="AY64" s="366"/>
      <c r="AZ64" s="369"/>
      <c r="BA64" s="372"/>
      <c r="BB64" s="131"/>
      <c r="BC64" s="132"/>
      <c r="BD64" s="132"/>
      <c r="BE64" s="161"/>
      <c r="BF64" s="201"/>
      <c r="BG64" s="139"/>
      <c r="BH64" s="132"/>
      <c r="BI64" s="132"/>
      <c r="BJ64" s="156"/>
    </row>
    <row r="65" spans="1:62" s="86" customFormat="1" ht="36" x14ac:dyDescent="0.25">
      <c r="B65" s="376" t="s">
        <v>76</v>
      </c>
      <c r="C65" s="361">
        <v>16</v>
      </c>
      <c r="D65" s="373" t="s">
        <v>597</v>
      </c>
      <c r="E65" s="373"/>
      <c r="F65" s="361" t="s">
        <v>89</v>
      </c>
      <c r="G65" s="361"/>
      <c r="H65" s="373" t="s">
        <v>532</v>
      </c>
      <c r="I65" s="379"/>
      <c r="J65" s="379"/>
      <c r="K65" s="109" t="s">
        <v>598</v>
      </c>
      <c r="L65" s="199"/>
      <c r="M65" s="364" t="str">
        <f>IF(F65="gestion","impacto",IF(F65="corrupcion","impactocorrupcion",IF(F65="seguridad_de_la_informacion","impacto","")))</f>
        <v>impacto</v>
      </c>
      <c r="N65" s="361"/>
      <c r="O65" s="361"/>
      <c r="P65" s="364" t="str">
        <f>N65&amp;O65</f>
        <v/>
      </c>
      <c r="Q65" s="370" t="str">
        <f>IFERROR(VLOOKUP(P65,FORMULAS!$B$37:$C$61,2,FALSE),"")</f>
        <v/>
      </c>
      <c r="R65" s="373"/>
      <c r="S65" s="373"/>
      <c r="T65" s="112"/>
      <c r="U65" s="113">
        <f>IF(T65="Asignado",15,0)</f>
        <v>0</v>
      </c>
      <c r="V65" s="112"/>
      <c r="W65" s="113">
        <f>IF(V65="Adecuado",15,0)</f>
        <v>0</v>
      </c>
      <c r="X65" s="112"/>
      <c r="Y65" s="113">
        <f>IF(X65="Oportuna",15,0)</f>
        <v>0</v>
      </c>
      <c r="Z65" s="112"/>
      <c r="AA65" s="113">
        <f>IF(Z65="Prevenir",15,IF(Z65="Detectar",10,0))</f>
        <v>0</v>
      </c>
      <c r="AB65" s="112"/>
      <c r="AC65" s="113">
        <f>IF(AB65="Confiable",15,0)</f>
        <v>0</v>
      </c>
      <c r="AD65" s="112"/>
      <c r="AE65" s="113">
        <f>IF(AD65="Se investigan y resuelven oportunamente",15,0)</f>
        <v>0</v>
      </c>
      <c r="AF65" s="112"/>
      <c r="AG65" s="113">
        <f>IF(AF65="Completa",10,IF(AF65="incompleta",5,0))</f>
        <v>0</v>
      </c>
      <c r="AH65" s="114">
        <f t="shared" si="143"/>
        <v>0</v>
      </c>
      <c r="AI65" s="114" t="str">
        <f>IF(AH65&gt;=96,"Fuerte",IF(AH65&gt;=86,"Moderado",IF(AH65&gt;=1,"Débil","")))</f>
        <v/>
      </c>
      <c r="AJ65" s="115"/>
      <c r="AK65" s="114" t="str">
        <f>IF(AJ65="Siempre se ejecuta","Fuerte",IF(AJ65="Algunas veces","Moderado",IF(AJ65="no se ejecuta","Débil","")))</f>
        <v/>
      </c>
      <c r="AL65" s="114" t="str">
        <f>AI65&amp;AK65</f>
        <v/>
      </c>
      <c r="AM65" s="114" t="str">
        <f>IFERROR(VLOOKUP(AL65,FORMULAS!$B$69:$D$77,3,FALSE),"")</f>
        <v/>
      </c>
      <c r="AN65" s="114" t="str">
        <f>IF(AM65="fuerte",100,IF(AM65="Moderado",50,IF(AM65="débil",0,"")))</f>
        <v/>
      </c>
      <c r="AO65" s="114" t="str">
        <f>IFERROR(VLOOKUP(AL65,FORMULAS!$B$69:$D$77,2,FALSE),"")</f>
        <v/>
      </c>
      <c r="AP65" s="358">
        <f>IFERROR(AVERAGE(AN65:AN68),0)</f>
        <v>0</v>
      </c>
      <c r="AQ65" s="358" t="str">
        <f>IF(AP65&gt;=100,"Fuerte",IF(AP65&gt;=50,"Moderado",IF(AP65&gt;=1,"Débil","")))</f>
        <v/>
      </c>
      <c r="AR65" s="355"/>
      <c r="AS65" s="355"/>
      <c r="AT65" s="358" t="str">
        <f>+AQ65&amp;AR65&amp;AS65</f>
        <v/>
      </c>
      <c r="AU65" s="358">
        <f>IFERROR(VLOOKUP(AT65,FORMULAS!$B$94:$D$101,2,FALSE),0)</f>
        <v>0</v>
      </c>
      <c r="AV65" s="358">
        <f>IFERROR(VLOOKUP(AT65,FORMULAS!$B$94:$D$101,3,FALSE),0)</f>
        <v>0</v>
      </c>
      <c r="AW65" s="361" t="s">
        <v>19</v>
      </c>
      <c r="AX65" s="361" t="s">
        <v>23</v>
      </c>
      <c r="AY65" s="364" t="str">
        <f>AW65&amp;AX65</f>
        <v>ProbableModerado</v>
      </c>
      <c r="AZ65" s="367" t="str">
        <f>IFERROR(VLOOKUP(AY65,FORMULAS!$B$37:$C$61,2,FALSE),"")</f>
        <v>Riesgo alto</v>
      </c>
      <c r="BA65" s="370" t="s">
        <v>167</v>
      </c>
      <c r="BB65" s="153" t="s">
        <v>600</v>
      </c>
      <c r="BC65" s="119" t="s">
        <v>601</v>
      </c>
      <c r="BD65" s="119" t="s">
        <v>602</v>
      </c>
      <c r="BE65" s="160" t="s">
        <v>585</v>
      </c>
      <c r="BF65" s="157"/>
      <c r="BG65" s="410" t="s">
        <v>606</v>
      </c>
      <c r="BH65" s="410" t="s">
        <v>587</v>
      </c>
      <c r="BI65" s="410" t="s">
        <v>588</v>
      </c>
      <c r="BJ65" s="599" t="s">
        <v>589</v>
      </c>
    </row>
    <row r="66" spans="1:62" s="86" customFormat="1" ht="48" x14ac:dyDescent="0.25">
      <c r="B66" s="377"/>
      <c r="C66" s="362"/>
      <c r="D66" s="374"/>
      <c r="E66" s="374"/>
      <c r="F66" s="362"/>
      <c r="G66" s="362"/>
      <c r="H66" s="374"/>
      <c r="I66" s="380"/>
      <c r="J66" s="380"/>
      <c r="K66" s="121" t="s">
        <v>599</v>
      </c>
      <c r="L66" s="80"/>
      <c r="M66" s="365"/>
      <c r="N66" s="362"/>
      <c r="O66" s="362"/>
      <c r="P66" s="365"/>
      <c r="Q66" s="371"/>
      <c r="R66" s="374"/>
      <c r="S66" s="374"/>
      <c r="T66" s="96"/>
      <c r="U66" s="95">
        <f t="shared" ref="U66:U68" si="155">IF(T66="Asignado",15,0)</f>
        <v>0</v>
      </c>
      <c r="V66" s="96"/>
      <c r="W66" s="95">
        <f t="shared" ref="W66:W68" si="156">IF(V66="Adecuado",15,0)</f>
        <v>0</v>
      </c>
      <c r="X66" s="96"/>
      <c r="Y66" s="95">
        <f t="shared" ref="Y66:Y68" si="157">IF(X66="Oportuna",15,0)</f>
        <v>0</v>
      </c>
      <c r="Z66" s="96"/>
      <c r="AA66" s="95">
        <f t="shared" ref="AA66:AA68" si="158">IF(Z66="Prevenir",15,IF(Z66="Detectar",10,0))</f>
        <v>0</v>
      </c>
      <c r="AB66" s="96"/>
      <c r="AC66" s="95">
        <f t="shared" ref="AC66:AC68" si="159">IF(AB66="Confiable",15,0)</f>
        <v>0</v>
      </c>
      <c r="AD66" s="96"/>
      <c r="AE66" s="95">
        <f t="shared" ref="AE66:AE68" si="160">IF(AD66="Se investigan y resuelven oportunamente",15,0)</f>
        <v>0</v>
      </c>
      <c r="AF66" s="96"/>
      <c r="AG66" s="95">
        <f t="shared" ref="AG66:AG68" si="161">IF(AF66="Completa",10,IF(AF66="incompleta",5,0))</f>
        <v>0</v>
      </c>
      <c r="AH66" s="99">
        <f t="shared" si="143"/>
        <v>0</v>
      </c>
      <c r="AI66" s="99" t="str">
        <f>IF(AH66&gt;=96,"Fuerte",IF(AH66&gt;=86,"Moderado",IF(AH66&gt;=1,"Débil","")))</f>
        <v/>
      </c>
      <c r="AJ66" s="98"/>
      <c r="AK66" s="99" t="str">
        <f t="shared" ref="AK66:AK68" si="162">IF(AJ66="Siempre se ejecuta","Fuerte",IF(AJ66="Algunas veces","Moderado",IF(AJ66="no se ejecuta","Débil","")))</f>
        <v/>
      </c>
      <c r="AL66" s="99" t="str">
        <f t="shared" ref="AL66:AL68" si="163">AI66&amp;AK66</f>
        <v/>
      </c>
      <c r="AM66" s="99" t="str">
        <f>IFERROR(VLOOKUP(AL66,FORMULAS!$B$69:$D$77,3,FALSE),"")</f>
        <v/>
      </c>
      <c r="AN66" s="99" t="str">
        <f t="shared" ref="AN66:AN68" si="164">IF(AM66="fuerte",100,IF(AM66="Moderado",50,IF(AM66="débil",0,"")))</f>
        <v/>
      </c>
      <c r="AO66" s="99" t="str">
        <f>IFERROR(VLOOKUP(AL66,FORMULAS!$B$69:$C$77,2,FALSE),"")</f>
        <v/>
      </c>
      <c r="AP66" s="359"/>
      <c r="AQ66" s="359"/>
      <c r="AR66" s="356"/>
      <c r="AS66" s="356"/>
      <c r="AT66" s="359"/>
      <c r="AU66" s="359"/>
      <c r="AV66" s="359"/>
      <c r="AW66" s="362"/>
      <c r="AX66" s="362"/>
      <c r="AY66" s="365"/>
      <c r="AZ66" s="368"/>
      <c r="BA66" s="371"/>
      <c r="BB66" s="81" t="s">
        <v>603</v>
      </c>
      <c r="BC66" s="84" t="s">
        <v>604</v>
      </c>
      <c r="BD66" s="84" t="s">
        <v>605</v>
      </c>
      <c r="BE66" s="83" t="s">
        <v>585</v>
      </c>
      <c r="BF66" s="158"/>
      <c r="BG66" s="598"/>
      <c r="BH66" s="598"/>
      <c r="BI66" s="598"/>
      <c r="BJ66" s="600"/>
    </row>
    <row r="67" spans="1:62" s="86" customFormat="1" ht="20.100000000000001" customHeight="1" x14ac:dyDescent="0.25">
      <c r="B67" s="377"/>
      <c r="C67" s="362"/>
      <c r="D67" s="374"/>
      <c r="E67" s="374"/>
      <c r="F67" s="362"/>
      <c r="G67" s="362"/>
      <c r="H67" s="374"/>
      <c r="I67" s="380"/>
      <c r="J67" s="380"/>
      <c r="K67" s="80"/>
      <c r="L67" s="80"/>
      <c r="M67" s="365"/>
      <c r="N67" s="362"/>
      <c r="O67" s="362"/>
      <c r="P67" s="365"/>
      <c r="Q67" s="371"/>
      <c r="R67" s="374"/>
      <c r="S67" s="374"/>
      <c r="T67" s="96"/>
      <c r="U67" s="95">
        <f t="shared" si="155"/>
        <v>0</v>
      </c>
      <c r="V67" s="96"/>
      <c r="W67" s="95">
        <f t="shared" si="156"/>
        <v>0</v>
      </c>
      <c r="X67" s="96"/>
      <c r="Y67" s="95">
        <f t="shared" si="157"/>
        <v>0</v>
      </c>
      <c r="Z67" s="96"/>
      <c r="AA67" s="95">
        <f t="shared" si="158"/>
        <v>0</v>
      </c>
      <c r="AB67" s="96"/>
      <c r="AC67" s="95">
        <f t="shared" si="159"/>
        <v>0</v>
      </c>
      <c r="AD67" s="96"/>
      <c r="AE67" s="95">
        <f t="shared" si="160"/>
        <v>0</v>
      </c>
      <c r="AF67" s="96"/>
      <c r="AG67" s="95">
        <f t="shared" si="161"/>
        <v>0</v>
      </c>
      <c r="AH67" s="99">
        <f t="shared" si="143"/>
        <v>0</v>
      </c>
      <c r="AI67" s="99" t="str">
        <f t="shared" ref="AI67:AI68" si="165">IF(AH67&gt;=96,"Fuerte",IF(AH67&gt;=86,"Moderado",IF(AH67&gt;=1,"Débil","")))</f>
        <v/>
      </c>
      <c r="AJ67" s="98"/>
      <c r="AK67" s="99" t="str">
        <f t="shared" si="162"/>
        <v/>
      </c>
      <c r="AL67" s="99" t="str">
        <f t="shared" si="163"/>
        <v/>
      </c>
      <c r="AM67" s="99" t="str">
        <f>IFERROR(VLOOKUP(AL67,FORMULAS!$B$69:$D$77,3,FALSE),"")</f>
        <v/>
      </c>
      <c r="AN67" s="99" t="str">
        <f t="shared" si="164"/>
        <v/>
      </c>
      <c r="AO67" s="99" t="str">
        <f>IFERROR(VLOOKUP(AL67,FORMULAS!$B$69:$C$77,2,FALSE),"")</f>
        <v/>
      </c>
      <c r="AP67" s="359"/>
      <c r="AQ67" s="359"/>
      <c r="AR67" s="356"/>
      <c r="AS67" s="356"/>
      <c r="AT67" s="359"/>
      <c r="AU67" s="359"/>
      <c r="AV67" s="359"/>
      <c r="AW67" s="362"/>
      <c r="AX67" s="362"/>
      <c r="AY67" s="365"/>
      <c r="AZ67" s="368"/>
      <c r="BA67" s="371"/>
      <c r="BB67" s="81"/>
      <c r="BC67" s="82"/>
      <c r="BD67" s="82"/>
      <c r="BE67" s="83"/>
      <c r="BF67" s="158"/>
      <c r="BG67" s="84"/>
      <c r="BH67" s="82"/>
      <c r="BI67" s="82"/>
      <c r="BJ67" s="155"/>
    </row>
    <row r="68" spans="1:62" s="86" customFormat="1" ht="20.100000000000001" customHeight="1" thickBot="1" x14ac:dyDescent="0.3">
      <c r="B68" s="378"/>
      <c r="C68" s="363"/>
      <c r="D68" s="375"/>
      <c r="E68" s="375"/>
      <c r="F68" s="363"/>
      <c r="G68" s="363"/>
      <c r="H68" s="375"/>
      <c r="I68" s="381"/>
      <c r="J68" s="381"/>
      <c r="K68" s="124"/>
      <c r="L68" s="124"/>
      <c r="M68" s="366"/>
      <c r="N68" s="363"/>
      <c r="O68" s="363"/>
      <c r="P68" s="366"/>
      <c r="Q68" s="372"/>
      <c r="R68" s="375"/>
      <c r="S68" s="375"/>
      <c r="T68" s="125"/>
      <c r="U68" s="126">
        <f t="shared" si="155"/>
        <v>0</v>
      </c>
      <c r="V68" s="125"/>
      <c r="W68" s="126">
        <f t="shared" si="156"/>
        <v>0</v>
      </c>
      <c r="X68" s="125"/>
      <c r="Y68" s="126">
        <f t="shared" si="157"/>
        <v>0</v>
      </c>
      <c r="Z68" s="125"/>
      <c r="AA68" s="126">
        <f t="shared" si="158"/>
        <v>0</v>
      </c>
      <c r="AB68" s="125"/>
      <c r="AC68" s="126">
        <f t="shared" si="159"/>
        <v>0</v>
      </c>
      <c r="AD68" s="125"/>
      <c r="AE68" s="126">
        <f t="shared" si="160"/>
        <v>0</v>
      </c>
      <c r="AF68" s="125"/>
      <c r="AG68" s="126">
        <f t="shared" si="161"/>
        <v>0</v>
      </c>
      <c r="AH68" s="127">
        <f t="shared" si="143"/>
        <v>0</v>
      </c>
      <c r="AI68" s="127" t="str">
        <f t="shared" si="165"/>
        <v/>
      </c>
      <c r="AJ68" s="128"/>
      <c r="AK68" s="127" t="str">
        <f t="shared" si="162"/>
        <v/>
      </c>
      <c r="AL68" s="127" t="str">
        <f t="shared" si="163"/>
        <v/>
      </c>
      <c r="AM68" s="127" t="str">
        <f>IFERROR(VLOOKUP(AL68,FORMULAS!$B$69:$D$77,3,FALSE),"")</f>
        <v/>
      </c>
      <c r="AN68" s="127" t="str">
        <f t="shared" si="164"/>
        <v/>
      </c>
      <c r="AO68" s="127" t="str">
        <f>IFERROR(VLOOKUP(AL68,FORMULAS!$B$69:$C$77,2,FALSE),"")</f>
        <v/>
      </c>
      <c r="AP68" s="360"/>
      <c r="AQ68" s="360"/>
      <c r="AR68" s="357"/>
      <c r="AS68" s="357"/>
      <c r="AT68" s="360"/>
      <c r="AU68" s="360"/>
      <c r="AV68" s="360"/>
      <c r="AW68" s="363"/>
      <c r="AX68" s="363"/>
      <c r="AY68" s="366"/>
      <c r="AZ68" s="369"/>
      <c r="BA68" s="372"/>
      <c r="BB68" s="131"/>
      <c r="BC68" s="132"/>
      <c r="BD68" s="132"/>
      <c r="BE68" s="161"/>
      <c r="BF68" s="201"/>
      <c r="BG68" s="139"/>
      <c r="BH68" s="132"/>
      <c r="BI68" s="132"/>
      <c r="BJ68" s="156"/>
    </row>
    <row r="69" spans="1:62" s="86" customFormat="1" ht="20.100000000000001" customHeight="1" x14ac:dyDescent="0.25">
      <c r="B69" s="376" t="s">
        <v>76</v>
      </c>
      <c r="C69" s="361">
        <v>17</v>
      </c>
      <c r="D69" s="373" t="s">
        <v>607</v>
      </c>
      <c r="E69" s="373"/>
      <c r="F69" s="361" t="s">
        <v>89</v>
      </c>
      <c r="G69" s="361"/>
      <c r="H69" s="373" t="s">
        <v>532</v>
      </c>
      <c r="I69" s="379"/>
      <c r="J69" s="379" t="s">
        <v>120</v>
      </c>
      <c r="K69" s="109" t="s">
        <v>608</v>
      </c>
      <c r="L69" s="352" t="s">
        <v>609</v>
      </c>
      <c r="M69" s="364" t="str">
        <f>IF(F69="gestion","impacto",IF(F69="corrupcion","impactocorrupcion",IF(F69="seguridad_de_la_informacion","impacto","")))</f>
        <v>impacto</v>
      </c>
      <c r="N69" s="361" t="s">
        <v>18</v>
      </c>
      <c r="O69" s="361" t="s">
        <v>23</v>
      </c>
      <c r="P69" s="570" t="str">
        <f>N69&amp;O69</f>
        <v>PosibleModerado</v>
      </c>
      <c r="Q69" s="573" t="str">
        <f>IFERROR(VLOOKUP(P69,[9]FORMULAS!$B$37:$C$61,2,FALSE),"")</f>
        <v>Riesgo alto</v>
      </c>
      <c r="R69" s="373" t="s">
        <v>610</v>
      </c>
      <c r="S69" s="373"/>
      <c r="T69" s="112" t="s">
        <v>286</v>
      </c>
      <c r="U69" s="113">
        <f>IF(T69="Asignado",15,0)</f>
        <v>15</v>
      </c>
      <c r="V69" s="112" t="s">
        <v>287</v>
      </c>
      <c r="W69" s="113">
        <f>IF(V69="Adecuado",15,0)</f>
        <v>15</v>
      </c>
      <c r="X69" s="112" t="s">
        <v>288</v>
      </c>
      <c r="Y69" s="113">
        <f>IF(X69="Oportuna",15,0)</f>
        <v>15</v>
      </c>
      <c r="Z69" s="112" t="s">
        <v>291</v>
      </c>
      <c r="AA69" s="113">
        <f>IF(Z69="Prevenir",15,IF(Z69="Detectar",10,0))</f>
        <v>15</v>
      </c>
      <c r="AB69" s="112" t="s">
        <v>290</v>
      </c>
      <c r="AC69" s="113">
        <f>IF(AB69="Confiable",15,0)</f>
        <v>15</v>
      </c>
      <c r="AD69" s="112" t="s">
        <v>292</v>
      </c>
      <c r="AE69" s="113">
        <f>IF(AD69="Se investigan y resuelven oportunamente",15,0)</f>
        <v>15</v>
      </c>
      <c r="AF69" s="112" t="s">
        <v>289</v>
      </c>
      <c r="AG69" s="113">
        <f>IF(AF69="Completa",10,IF(AF69="incompleta",5,0))</f>
        <v>10</v>
      </c>
      <c r="AH69" s="114">
        <f t="shared" si="143"/>
        <v>100</v>
      </c>
      <c r="AI69" s="114" t="str">
        <f>IF(AH69&gt;=96,"Fuerte",IF(AH69&gt;=86,"Moderado",IF(AH69&gt;=1,"Débil","")))</f>
        <v>Fuerte</v>
      </c>
      <c r="AJ69" s="115" t="s">
        <v>342</v>
      </c>
      <c r="AK69" s="114" t="str">
        <f>IF(AJ69="Siempre se ejecuta","Fuerte",IF(AJ69="Algunas veces","Moderado",IF(AJ69="no se ejecuta","Débil","")))</f>
        <v>Moderado</v>
      </c>
      <c r="AL69" s="114" t="str">
        <f>AI69&amp;AK69</f>
        <v>FuerteModerado</v>
      </c>
      <c r="AM69" s="114" t="str">
        <f>IFERROR(VLOOKUP(AL69,[9]FORMULAS!$B$69:$D$77,3,FALSE),"")</f>
        <v>Moderado</v>
      </c>
      <c r="AN69" s="114">
        <f>IF(AM69="fuerte",100,IF(AM69="Moderado",50,IF(AM69="débil",0,"")))</f>
        <v>50</v>
      </c>
      <c r="AO69" s="114" t="str">
        <f>IFERROR(VLOOKUP(AL69,[9]FORMULAS!$B$69:$D$77,2,FALSE),"")</f>
        <v>Sí</v>
      </c>
      <c r="AP69" s="358">
        <f>IFERROR(AVERAGE(AN69:AN72),0)</f>
        <v>50</v>
      </c>
      <c r="AQ69" s="358" t="str">
        <f>IF(AP69&gt;=100,"Fuerte",IF(AP69&gt;=50,"Moderado",IF(AP69&gt;=1,"Débil","")))</f>
        <v>Moderado</v>
      </c>
      <c r="AR69" s="355" t="s">
        <v>160</v>
      </c>
      <c r="AS69" s="355" t="s">
        <v>162</v>
      </c>
      <c r="AT69" s="358" t="str">
        <f>+AQ69&amp;AR69&amp;AS69</f>
        <v>ModeradoDirectamenteIndirectamente</v>
      </c>
      <c r="AU69" s="358">
        <f>IFERROR(VLOOKUP(AT69,[9]FORMULAS!$B$94:$D$101,2,FALSE),0)</f>
        <v>1</v>
      </c>
      <c r="AV69" s="358">
        <f>IFERROR(VLOOKUP(AT69,[9]FORMULAS!$B$94:$D$101,3,FALSE),0)</f>
        <v>0</v>
      </c>
      <c r="AW69" s="361" t="s">
        <v>17</v>
      </c>
      <c r="AX69" s="361" t="s">
        <v>23</v>
      </c>
      <c r="AY69" s="570" t="str">
        <f>AW69&amp;AX69</f>
        <v>ImprobableModerado</v>
      </c>
      <c r="AZ69" s="576" t="str">
        <f>IFERROR(VLOOKUP(AY69,[9]FORMULAS!$B$37:$C$61,2,FALSE),"")</f>
        <v>Riesgo moderado</v>
      </c>
      <c r="BA69" s="370" t="s">
        <v>167</v>
      </c>
      <c r="BB69" s="153" t="s">
        <v>611</v>
      </c>
      <c r="BC69" s="200" t="s">
        <v>612</v>
      </c>
      <c r="BD69" s="200" t="s">
        <v>613</v>
      </c>
      <c r="BE69" s="160" t="s">
        <v>585</v>
      </c>
      <c r="BF69" s="157"/>
      <c r="BG69" s="119"/>
      <c r="BH69" s="200"/>
      <c r="BI69" s="200"/>
      <c r="BJ69" s="154"/>
    </row>
    <row r="70" spans="1:62" s="86" customFormat="1" ht="20.100000000000001" customHeight="1" x14ac:dyDescent="0.25">
      <c r="B70" s="377"/>
      <c r="C70" s="362"/>
      <c r="D70" s="374"/>
      <c r="E70" s="374"/>
      <c r="F70" s="362"/>
      <c r="G70" s="362"/>
      <c r="H70" s="374"/>
      <c r="I70" s="380"/>
      <c r="J70" s="380"/>
      <c r="K70" s="121" t="s">
        <v>614</v>
      </c>
      <c r="L70" s="353"/>
      <c r="M70" s="365"/>
      <c r="N70" s="362"/>
      <c r="O70" s="362"/>
      <c r="P70" s="571"/>
      <c r="Q70" s="574"/>
      <c r="R70" s="374" t="s">
        <v>615</v>
      </c>
      <c r="S70" s="374"/>
      <c r="T70" s="96" t="s">
        <v>286</v>
      </c>
      <c r="U70" s="95">
        <f t="shared" ref="U70:U72" si="166">IF(T70="Asignado",15,0)</f>
        <v>15</v>
      </c>
      <c r="V70" s="96" t="s">
        <v>287</v>
      </c>
      <c r="W70" s="95">
        <f t="shared" ref="W70:W72" si="167">IF(V70="Adecuado",15,0)</f>
        <v>15</v>
      </c>
      <c r="X70" s="96" t="s">
        <v>288</v>
      </c>
      <c r="Y70" s="95">
        <f t="shared" ref="Y70:Y72" si="168">IF(X70="Oportuna",15,0)</f>
        <v>15</v>
      </c>
      <c r="Z70" s="96" t="s">
        <v>341</v>
      </c>
      <c r="AA70" s="95">
        <f t="shared" ref="AA70:AA72" si="169">IF(Z70="Prevenir",15,IF(Z70="Detectar",10,0))</f>
        <v>10</v>
      </c>
      <c r="AB70" s="96" t="s">
        <v>290</v>
      </c>
      <c r="AC70" s="95">
        <f t="shared" ref="AC70:AC72" si="170">IF(AB70="Confiable",15,0)</f>
        <v>15</v>
      </c>
      <c r="AD70" s="96" t="s">
        <v>292</v>
      </c>
      <c r="AE70" s="95">
        <f t="shared" ref="AE70:AE72" si="171">IF(AD70="Se investigan y resuelven oportunamente",15,0)</f>
        <v>15</v>
      </c>
      <c r="AF70" s="96" t="s">
        <v>289</v>
      </c>
      <c r="AG70" s="95">
        <f t="shared" ref="AG70:AG72" si="172">IF(AF70="Completa",10,IF(AF70="incompleta",5,0))</f>
        <v>10</v>
      </c>
      <c r="AH70" s="99">
        <f t="shared" si="143"/>
        <v>95</v>
      </c>
      <c r="AI70" s="99" t="str">
        <f>IF(AH70&gt;=96,"Fuerte",IF(AH70&gt;=86,"Moderado",IF(AH70&gt;=1,"Débil","")))</f>
        <v>Moderado</v>
      </c>
      <c r="AJ70" s="98" t="s">
        <v>342</v>
      </c>
      <c r="AK70" s="99" t="str">
        <f t="shared" ref="AK70:AK72" si="173">IF(AJ70="Siempre se ejecuta","Fuerte",IF(AJ70="Algunas veces","Moderado",IF(AJ70="no se ejecuta","Débil","")))</f>
        <v>Moderado</v>
      </c>
      <c r="AL70" s="99" t="str">
        <f t="shared" ref="AL70:AL72" si="174">AI70&amp;AK70</f>
        <v>ModeradoModerado</v>
      </c>
      <c r="AM70" s="99" t="str">
        <f>IFERROR(VLOOKUP(AL70,[9]FORMULAS!$B$69:$D$77,3,FALSE),"")</f>
        <v>Moderado</v>
      </c>
      <c r="AN70" s="99">
        <f t="shared" ref="AN70:AN72" si="175">IF(AM70="fuerte",100,IF(AM70="Moderado",50,IF(AM70="débil",0,"")))</f>
        <v>50</v>
      </c>
      <c r="AO70" s="99" t="str">
        <f>IFERROR(VLOOKUP(AL70,[9]FORMULAS!$B$69:$C$77,2,FALSE),"")</f>
        <v>Sí</v>
      </c>
      <c r="AP70" s="359"/>
      <c r="AQ70" s="359"/>
      <c r="AR70" s="356"/>
      <c r="AS70" s="356"/>
      <c r="AT70" s="359"/>
      <c r="AU70" s="359"/>
      <c r="AV70" s="359"/>
      <c r="AW70" s="362"/>
      <c r="AX70" s="362"/>
      <c r="AY70" s="571"/>
      <c r="AZ70" s="577"/>
      <c r="BA70" s="371"/>
      <c r="BB70" s="81" t="s">
        <v>616</v>
      </c>
      <c r="BC70" s="82" t="s">
        <v>617</v>
      </c>
      <c r="BD70" s="82" t="s">
        <v>613</v>
      </c>
      <c r="BE70" s="83" t="s">
        <v>585</v>
      </c>
      <c r="BF70" s="158"/>
      <c r="BG70" s="84"/>
      <c r="BH70" s="82"/>
      <c r="BI70" s="82"/>
      <c r="BJ70" s="155"/>
    </row>
    <row r="71" spans="1:62" s="86" customFormat="1" ht="20.100000000000001" customHeight="1" x14ac:dyDescent="0.25">
      <c r="B71" s="377"/>
      <c r="C71" s="362"/>
      <c r="D71" s="374"/>
      <c r="E71" s="374"/>
      <c r="F71" s="362"/>
      <c r="G71" s="362"/>
      <c r="H71" s="374"/>
      <c r="I71" s="380"/>
      <c r="J71" s="380"/>
      <c r="K71" s="80"/>
      <c r="L71" s="353"/>
      <c r="M71" s="365"/>
      <c r="N71" s="362"/>
      <c r="O71" s="362"/>
      <c r="P71" s="571"/>
      <c r="Q71" s="574"/>
      <c r="R71" s="374"/>
      <c r="S71" s="374"/>
      <c r="T71" s="96"/>
      <c r="U71" s="95">
        <f t="shared" si="166"/>
        <v>0</v>
      </c>
      <c r="V71" s="96"/>
      <c r="W71" s="95">
        <f t="shared" si="167"/>
        <v>0</v>
      </c>
      <c r="X71" s="96"/>
      <c r="Y71" s="95">
        <f t="shared" si="168"/>
        <v>0</v>
      </c>
      <c r="Z71" s="96"/>
      <c r="AA71" s="95">
        <f t="shared" si="169"/>
        <v>0</v>
      </c>
      <c r="AB71" s="96"/>
      <c r="AC71" s="95">
        <f t="shared" si="170"/>
        <v>0</v>
      </c>
      <c r="AD71" s="96"/>
      <c r="AE71" s="95">
        <f t="shared" si="171"/>
        <v>0</v>
      </c>
      <c r="AF71" s="96"/>
      <c r="AG71" s="95">
        <f t="shared" si="172"/>
        <v>0</v>
      </c>
      <c r="AH71" s="99">
        <f t="shared" si="143"/>
        <v>0</v>
      </c>
      <c r="AI71" s="99" t="str">
        <f t="shared" ref="AI71:AI72" si="176">IF(AH71&gt;=96,"Fuerte",IF(AH71&gt;=86,"Moderado",IF(AH71&gt;=1,"Débil","")))</f>
        <v/>
      </c>
      <c r="AJ71" s="98"/>
      <c r="AK71" s="99" t="str">
        <f t="shared" si="173"/>
        <v/>
      </c>
      <c r="AL71" s="99" t="str">
        <f t="shared" si="174"/>
        <v/>
      </c>
      <c r="AM71" s="99" t="str">
        <f>IFERROR(VLOOKUP(AL71,[9]FORMULAS!$B$69:$D$77,3,FALSE),"")</f>
        <v/>
      </c>
      <c r="AN71" s="99" t="str">
        <f t="shared" si="175"/>
        <v/>
      </c>
      <c r="AO71" s="99" t="str">
        <f>IFERROR(VLOOKUP(AL71,[9]FORMULAS!$B$69:$C$77,2,FALSE),"")</f>
        <v/>
      </c>
      <c r="AP71" s="359"/>
      <c r="AQ71" s="359"/>
      <c r="AR71" s="356"/>
      <c r="AS71" s="356"/>
      <c r="AT71" s="359"/>
      <c r="AU71" s="359"/>
      <c r="AV71" s="359"/>
      <c r="AW71" s="362"/>
      <c r="AX71" s="362"/>
      <c r="AY71" s="571"/>
      <c r="AZ71" s="577"/>
      <c r="BA71" s="371"/>
      <c r="BB71" s="81"/>
      <c r="BC71" s="82"/>
      <c r="BD71" s="82"/>
      <c r="BE71" s="83"/>
      <c r="BF71" s="158"/>
      <c r="BG71" s="84"/>
      <c r="BH71" s="82"/>
      <c r="BI71" s="82"/>
      <c r="BJ71" s="155"/>
    </row>
    <row r="72" spans="1:62" s="86" customFormat="1" ht="20.100000000000001" customHeight="1" thickBot="1" x14ac:dyDescent="0.3">
      <c r="B72" s="378"/>
      <c r="C72" s="363"/>
      <c r="D72" s="375"/>
      <c r="E72" s="375"/>
      <c r="F72" s="363"/>
      <c r="G72" s="363"/>
      <c r="H72" s="375"/>
      <c r="I72" s="381"/>
      <c r="J72" s="381"/>
      <c r="K72" s="124"/>
      <c r="L72" s="354"/>
      <c r="M72" s="366"/>
      <c r="N72" s="363"/>
      <c r="O72" s="363"/>
      <c r="P72" s="572"/>
      <c r="Q72" s="575"/>
      <c r="R72" s="375"/>
      <c r="S72" s="375"/>
      <c r="T72" s="125"/>
      <c r="U72" s="126">
        <f t="shared" si="166"/>
        <v>0</v>
      </c>
      <c r="V72" s="125"/>
      <c r="W72" s="126">
        <f t="shared" si="167"/>
        <v>0</v>
      </c>
      <c r="X72" s="125"/>
      <c r="Y72" s="126">
        <f t="shared" si="168"/>
        <v>0</v>
      </c>
      <c r="Z72" s="125"/>
      <c r="AA72" s="126">
        <f t="shared" si="169"/>
        <v>0</v>
      </c>
      <c r="AB72" s="125"/>
      <c r="AC72" s="126">
        <f t="shared" si="170"/>
        <v>0</v>
      </c>
      <c r="AD72" s="125"/>
      <c r="AE72" s="126">
        <f t="shared" si="171"/>
        <v>0</v>
      </c>
      <c r="AF72" s="125"/>
      <c r="AG72" s="126">
        <f t="shared" si="172"/>
        <v>0</v>
      </c>
      <c r="AH72" s="127">
        <f t="shared" si="143"/>
        <v>0</v>
      </c>
      <c r="AI72" s="127" t="str">
        <f t="shared" si="176"/>
        <v/>
      </c>
      <c r="AJ72" s="128"/>
      <c r="AK72" s="127" t="str">
        <f t="shared" si="173"/>
        <v/>
      </c>
      <c r="AL72" s="127" t="str">
        <f t="shared" si="174"/>
        <v/>
      </c>
      <c r="AM72" s="127" t="str">
        <f>IFERROR(VLOOKUP(AL72,[9]FORMULAS!$B$69:$D$77,3,FALSE),"")</f>
        <v/>
      </c>
      <c r="AN72" s="127" t="str">
        <f t="shared" si="175"/>
        <v/>
      </c>
      <c r="AO72" s="127" t="str">
        <f>IFERROR(VLOOKUP(AL72,[9]FORMULAS!$B$69:$C$77,2,FALSE),"")</f>
        <v/>
      </c>
      <c r="AP72" s="360"/>
      <c r="AQ72" s="360"/>
      <c r="AR72" s="357"/>
      <c r="AS72" s="357"/>
      <c r="AT72" s="360"/>
      <c r="AU72" s="360"/>
      <c r="AV72" s="360"/>
      <c r="AW72" s="363"/>
      <c r="AX72" s="363"/>
      <c r="AY72" s="572"/>
      <c r="AZ72" s="578"/>
      <c r="BA72" s="372"/>
      <c r="BB72" s="131"/>
      <c r="BC72" s="132"/>
      <c r="BD72" s="132"/>
      <c r="BE72" s="161"/>
      <c r="BF72" s="201"/>
      <c r="BG72" s="139"/>
      <c r="BH72" s="132"/>
      <c r="BI72" s="132"/>
      <c r="BJ72" s="156"/>
    </row>
    <row r="73" spans="1:62" s="86" customFormat="1" ht="12" customHeight="1" x14ac:dyDescent="0.25">
      <c r="A73" s="202"/>
      <c r="B73" s="456" t="s">
        <v>76</v>
      </c>
      <c r="C73" s="438">
        <v>18</v>
      </c>
      <c r="D73" s="373" t="s">
        <v>618</v>
      </c>
      <c r="E73" s="373" t="s">
        <v>619</v>
      </c>
      <c r="F73" s="361" t="s">
        <v>91</v>
      </c>
      <c r="G73" s="361" t="s">
        <v>100</v>
      </c>
      <c r="H73" s="373" t="s">
        <v>620</v>
      </c>
      <c r="I73" s="579"/>
      <c r="J73" s="462" t="s">
        <v>120</v>
      </c>
      <c r="K73" s="109" t="s">
        <v>621</v>
      </c>
      <c r="L73" s="422" t="s">
        <v>622</v>
      </c>
      <c r="M73" s="441" t="str">
        <f>IF(F73="gestion","impacto",IF(F73="corrupcion","impactocorrupcion",IF(F73="seguridad_de_la_informacion","impacto","")))</f>
        <v>impacto</v>
      </c>
      <c r="N73" s="438" t="s">
        <v>18</v>
      </c>
      <c r="O73" s="438" t="s">
        <v>23</v>
      </c>
      <c r="P73" s="441" t="str">
        <f>N73&amp;O73</f>
        <v>PosibleModerado</v>
      </c>
      <c r="Q73" s="447" t="str">
        <f>IFERROR(VLOOKUP(P73,[9]FORMULAS!$B$37:$C$61,2,FALSE),"")</f>
        <v>Riesgo alto</v>
      </c>
      <c r="R73" s="459"/>
      <c r="S73" s="459"/>
      <c r="T73" s="214"/>
      <c r="U73" s="215">
        <f>IF(T73="Asignado",15,0)</f>
        <v>0</v>
      </c>
      <c r="V73" s="214"/>
      <c r="W73" s="215">
        <f>IF(V73="Adecuado",15,0)</f>
        <v>0</v>
      </c>
      <c r="X73" s="214"/>
      <c r="Y73" s="215">
        <f>IF(X73="Oportuna",15,0)</f>
        <v>0</v>
      </c>
      <c r="Z73" s="214"/>
      <c r="AA73" s="215">
        <f>IF(Z73="Prevenir",15,IF(Z73="Detectar",10,0))</f>
        <v>0</v>
      </c>
      <c r="AB73" s="214"/>
      <c r="AC73" s="215">
        <f>IF(AB73="Confiable",15,0)</f>
        <v>0</v>
      </c>
      <c r="AD73" s="214"/>
      <c r="AE73" s="215">
        <f>IF(AD73="Se investigan y resuelven oportunamente",15,0)</f>
        <v>0</v>
      </c>
      <c r="AF73" s="214"/>
      <c r="AG73" s="215">
        <f>IF(AF73="Completa",10,IF(AF73="incompleta",5,0))</f>
        <v>0</v>
      </c>
      <c r="AH73" s="216">
        <f t="shared" si="143"/>
        <v>0</v>
      </c>
      <c r="AI73" s="216" t="str">
        <f>IF(AH73&gt;=96,"Fuerte",IF(AH73&gt;=86,"Moderado",IF(AH73&gt;=1,"Débil","")))</f>
        <v/>
      </c>
      <c r="AJ73" s="217"/>
      <c r="AK73" s="216" t="str">
        <f>IF(AJ73="Siempre se ejecuta","Fuerte",IF(AJ73="Algunas veces","Moderado",IF(AJ73="no se ejecuta","Débil","")))</f>
        <v/>
      </c>
      <c r="AL73" s="216" t="str">
        <f>AI73&amp;AK73</f>
        <v/>
      </c>
      <c r="AM73" s="216" t="str">
        <f>IFERROR(VLOOKUP(AL73,FORMULAS!$B$69:$D$77,3,FALSE),"")</f>
        <v/>
      </c>
      <c r="AN73" s="216" t="str">
        <f>IF(AM73="fuerte",100,IF(AM73="Moderado",50,IF(AM73="débil",0,"")))</f>
        <v/>
      </c>
      <c r="AO73" s="216" t="str">
        <f>IFERROR(VLOOKUP(AL73,FORMULAS!$B$69:$D$77,2,FALSE),"")</f>
        <v/>
      </c>
      <c r="AP73" s="435">
        <f>IFERROR(AVERAGE(AN73:AN76),0)</f>
        <v>0</v>
      </c>
      <c r="AQ73" s="435" t="str">
        <f>IF(AP73&gt;=100,"Fuerte",IF(AP73&gt;=50,"Moderado",IF(AP73&gt;=1,"Débil","")))</f>
        <v/>
      </c>
      <c r="AR73" s="432"/>
      <c r="AS73" s="432"/>
      <c r="AT73" s="435" t="str">
        <f>+AQ73&amp;AR73&amp;AS73</f>
        <v/>
      </c>
      <c r="AU73" s="435">
        <f>IFERROR(VLOOKUP(AT73,FORMULAS!$B$94:$D$101,2,FALSE),0)</f>
        <v>0</v>
      </c>
      <c r="AV73" s="435">
        <f>IFERROR(VLOOKUP(AT73,FORMULAS!$B$94:$D$101,3,FALSE),0)</f>
        <v>0</v>
      </c>
      <c r="AW73" s="438" t="s">
        <v>18</v>
      </c>
      <c r="AX73" s="438" t="s">
        <v>23</v>
      </c>
      <c r="AY73" s="441" t="str">
        <f>AW73&amp;AX73</f>
        <v>PosibleModerado</v>
      </c>
      <c r="AZ73" s="447" t="str">
        <f>IFERROR(VLOOKUP(AY73,[9]FORMULAS!$B$37:$C$61,2,FALSE),"")</f>
        <v>Riesgo alto</v>
      </c>
      <c r="BA73" s="447"/>
      <c r="BB73" s="410" t="s">
        <v>624</v>
      </c>
      <c r="BC73" s="410" t="s">
        <v>625</v>
      </c>
      <c r="BD73" s="413" t="s">
        <v>626</v>
      </c>
      <c r="BE73" s="416" t="s">
        <v>585</v>
      </c>
      <c r="BF73" s="219"/>
      <c r="BG73" s="410" t="s">
        <v>627</v>
      </c>
      <c r="BH73" s="410" t="s">
        <v>587</v>
      </c>
      <c r="BI73" s="413"/>
      <c r="BJ73" s="599" t="s">
        <v>589</v>
      </c>
    </row>
    <row r="74" spans="1:62" s="86" customFormat="1" ht="12" x14ac:dyDescent="0.25">
      <c r="A74" s="202"/>
      <c r="B74" s="457"/>
      <c r="C74" s="439"/>
      <c r="D74" s="374"/>
      <c r="E74" s="374"/>
      <c r="F74" s="362"/>
      <c r="G74" s="362"/>
      <c r="H74" s="374"/>
      <c r="I74" s="580"/>
      <c r="J74" s="463"/>
      <c r="K74" s="121" t="s">
        <v>623</v>
      </c>
      <c r="L74" s="460"/>
      <c r="M74" s="442"/>
      <c r="N74" s="439"/>
      <c r="O74" s="439"/>
      <c r="P74" s="442"/>
      <c r="Q74" s="448"/>
      <c r="R74" s="450"/>
      <c r="S74" s="450"/>
      <c r="T74" s="204"/>
      <c r="U74" s="205">
        <f t="shared" ref="U74:U76" si="177">IF(T74="Asignado",15,0)</f>
        <v>0</v>
      </c>
      <c r="V74" s="204"/>
      <c r="W74" s="205">
        <f t="shared" ref="W74:W76" si="178">IF(V74="Adecuado",15,0)</f>
        <v>0</v>
      </c>
      <c r="X74" s="204"/>
      <c r="Y74" s="205">
        <f t="shared" ref="Y74:Y76" si="179">IF(X74="Oportuna",15,0)</f>
        <v>0</v>
      </c>
      <c r="Z74" s="204"/>
      <c r="AA74" s="205">
        <f t="shared" ref="AA74:AA76" si="180">IF(Z74="Prevenir",15,IF(Z74="Detectar",10,0))</f>
        <v>0</v>
      </c>
      <c r="AB74" s="204"/>
      <c r="AC74" s="205">
        <f t="shared" ref="AC74:AC76" si="181">IF(AB74="Confiable",15,0)</f>
        <v>0</v>
      </c>
      <c r="AD74" s="204"/>
      <c r="AE74" s="205">
        <f t="shared" ref="AE74:AE76" si="182">IF(AD74="Se investigan y resuelven oportunamente",15,0)</f>
        <v>0</v>
      </c>
      <c r="AF74" s="204"/>
      <c r="AG74" s="205">
        <f t="shared" ref="AG74:AG76" si="183">IF(AF74="Completa",10,IF(AF74="incompleta",5,0))</f>
        <v>0</v>
      </c>
      <c r="AH74" s="206">
        <f t="shared" si="143"/>
        <v>0</v>
      </c>
      <c r="AI74" s="206" t="str">
        <f>IF(AH74&gt;=96,"Fuerte",IF(AH74&gt;=86,"Moderado",IF(AH74&gt;=1,"Débil","")))</f>
        <v/>
      </c>
      <c r="AJ74" s="207"/>
      <c r="AK74" s="206" t="str">
        <f t="shared" ref="AK74:AK76" si="184">IF(AJ74="Siempre se ejecuta","Fuerte",IF(AJ74="Algunas veces","Moderado",IF(AJ74="no se ejecuta","Débil","")))</f>
        <v/>
      </c>
      <c r="AL74" s="206" t="str">
        <f t="shared" ref="AL74:AL76" si="185">AI74&amp;AK74</f>
        <v/>
      </c>
      <c r="AM74" s="206" t="str">
        <f>IFERROR(VLOOKUP(AL74,FORMULAS!$B$69:$D$77,3,FALSE),"")</f>
        <v/>
      </c>
      <c r="AN74" s="206" t="str">
        <f t="shared" ref="AN74:AN76" si="186">IF(AM74="fuerte",100,IF(AM74="Moderado",50,IF(AM74="débil",0,"")))</f>
        <v/>
      </c>
      <c r="AO74" s="206" t="str">
        <f>IFERROR(VLOOKUP(AL74,FORMULAS!$B$69:$C$77,2,FALSE),"")</f>
        <v/>
      </c>
      <c r="AP74" s="436"/>
      <c r="AQ74" s="436"/>
      <c r="AR74" s="433"/>
      <c r="AS74" s="433"/>
      <c r="AT74" s="436"/>
      <c r="AU74" s="436"/>
      <c r="AV74" s="436"/>
      <c r="AW74" s="439"/>
      <c r="AX74" s="439"/>
      <c r="AY74" s="442"/>
      <c r="AZ74" s="448"/>
      <c r="BA74" s="448"/>
      <c r="BB74" s="598"/>
      <c r="BC74" s="598"/>
      <c r="BD74" s="601"/>
      <c r="BE74" s="602"/>
      <c r="BF74" s="203"/>
      <c r="BG74" s="598"/>
      <c r="BH74" s="598"/>
      <c r="BI74" s="601"/>
      <c r="BJ74" s="600"/>
    </row>
    <row r="75" spans="1:62" s="86" customFormat="1" ht="12" x14ac:dyDescent="0.25">
      <c r="A75" s="202"/>
      <c r="B75" s="457"/>
      <c r="C75" s="439"/>
      <c r="D75" s="374"/>
      <c r="E75" s="374"/>
      <c r="F75" s="362"/>
      <c r="G75" s="362"/>
      <c r="H75" s="374"/>
      <c r="I75" s="580"/>
      <c r="J75" s="463"/>
      <c r="K75" s="80"/>
      <c r="L75" s="460"/>
      <c r="M75" s="442"/>
      <c r="N75" s="439"/>
      <c r="O75" s="439"/>
      <c r="P75" s="442"/>
      <c r="Q75" s="448"/>
      <c r="R75" s="450"/>
      <c r="S75" s="450"/>
      <c r="T75" s="204"/>
      <c r="U75" s="205">
        <f t="shared" si="177"/>
        <v>0</v>
      </c>
      <c r="V75" s="204"/>
      <c r="W75" s="205">
        <f t="shared" si="178"/>
        <v>0</v>
      </c>
      <c r="X75" s="204"/>
      <c r="Y75" s="205">
        <f t="shared" si="179"/>
        <v>0</v>
      </c>
      <c r="Z75" s="204"/>
      <c r="AA75" s="205">
        <f t="shared" si="180"/>
        <v>0</v>
      </c>
      <c r="AB75" s="204"/>
      <c r="AC75" s="205">
        <f t="shared" si="181"/>
        <v>0</v>
      </c>
      <c r="AD75" s="204"/>
      <c r="AE75" s="205">
        <f t="shared" si="182"/>
        <v>0</v>
      </c>
      <c r="AF75" s="204"/>
      <c r="AG75" s="205">
        <f t="shared" si="183"/>
        <v>0</v>
      </c>
      <c r="AH75" s="206">
        <f t="shared" si="143"/>
        <v>0</v>
      </c>
      <c r="AI75" s="206" t="str">
        <f t="shared" ref="AI75:AI76" si="187">IF(AH75&gt;=96,"Fuerte",IF(AH75&gt;=86,"Moderado",IF(AH75&gt;=1,"Débil","")))</f>
        <v/>
      </c>
      <c r="AJ75" s="207"/>
      <c r="AK75" s="206" t="str">
        <f t="shared" si="184"/>
        <v/>
      </c>
      <c r="AL75" s="206" t="str">
        <f t="shared" si="185"/>
        <v/>
      </c>
      <c r="AM75" s="206" t="str">
        <f>IFERROR(VLOOKUP(AL75,FORMULAS!$B$69:$D$77,3,FALSE),"")</f>
        <v/>
      </c>
      <c r="AN75" s="206" t="str">
        <f t="shared" si="186"/>
        <v/>
      </c>
      <c r="AO75" s="206" t="str">
        <f>IFERROR(VLOOKUP(AL75,FORMULAS!$B$69:$C$77,2,FALSE),"")</f>
        <v/>
      </c>
      <c r="AP75" s="436"/>
      <c r="AQ75" s="436"/>
      <c r="AR75" s="433"/>
      <c r="AS75" s="433"/>
      <c r="AT75" s="436"/>
      <c r="AU75" s="436"/>
      <c r="AV75" s="436"/>
      <c r="AW75" s="439"/>
      <c r="AX75" s="439"/>
      <c r="AY75" s="442"/>
      <c r="AZ75" s="448"/>
      <c r="BA75" s="448"/>
      <c r="BB75" s="210"/>
      <c r="BC75" s="211"/>
      <c r="BD75" s="211"/>
      <c r="BE75" s="212"/>
      <c r="BF75" s="203"/>
      <c r="BG75" s="213"/>
      <c r="BH75" s="211"/>
      <c r="BI75" s="211"/>
      <c r="BJ75" s="220"/>
    </row>
    <row r="76" spans="1:62" s="86" customFormat="1" ht="12.75" thickBot="1" x14ac:dyDescent="0.3">
      <c r="A76" s="202"/>
      <c r="B76" s="458"/>
      <c r="C76" s="440"/>
      <c r="D76" s="375"/>
      <c r="E76" s="375"/>
      <c r="F76" s="363"/>
      <c r="G76" s="363"/>
      <c r="H76" s="375"/>
      <c r="I76" s="581"/>
      <c r="J76" s="464"/>
      <c r="K76" s="124"/>
      <c r="L76" s="461"/>
      <c r="M76" s="443"/>
      <c r="N76" s="440"/>
      <c r="O76" s="440"/>
      <c r="P76" s="443"/>
      <c r="Q76" s="449"/>
      <c r="R76" s="451"/>
      <c r="S76" s="451"/>
      <c r="T76" s="221"/>
      <c r="U76" s="222">
        <f t="shared" si="177"/>
        <v>0</v>
      </c>
      <c r="V76" s="221"/>
      <c r="W76" s="222">
        <f t="shared" si="178"/>
        <v>0</v>
      </c>
      <c r="X76" s="221"/>
      <c r="Y76" s="222">
        <f t="shared" si="179"/>
        <v>0</v>
      </c>
      <c r="Z76" s="221"/>
      <c r="AA76" s="222">
        <f t="shared" si="180"/>
        <v>0</v>
      </c>
      <c r="AB76" s="221"/>
      <c r="AC76" s="222">
        <f t="shared" si="181"/>
        <v>0</v>
      </c>
      <c r="AD76" s="221"/>
      <c r="AE76" s="222">
        <f t="shared" si="182"/>
        <v>0</v>
      </c>
      <c r="AF76" s="221"/>
      <c r="AG76" s="222">
        <f t="shared" si="183"/>
        <v>0</v>
      </c>
      <c r="AH76" s="223">
        <f t="shared" si="143"/>
        <v>0</v>
      </c>
      <c r="AI76" s="223" t="str">
        <f t="shared" si="187"/>
        <v/>
      </c>
      <c r="AJ76" s="224"/>
      <c r="AK76" s="223" t="str">
        <f t="shared" si="184"/>
        <v/>
      </c>
      <c r="AL76" s="223" t="str">
        <f t="shared" si="185"/>
        <v/>
      </c>
      <c r="AM76" s="223" t="str">
        <f>IFERROR(VLOOKUP(AL76,FORMULAS!$B$69:$D$77,3,FALSE),"")</f>
        <v/>
      </c>
      <c r="AN76" s="223" t="str">
        <f t="shared" si="186"/>
        <v/>
      </c>
      <c r="AO76" s="223" t="str">
        <f>IFERROR(VLOOKUP(AL76,FORMULAS!$B$69:$C$77,2,FALSE),"")</f>
        <v/>
      </c>
      <c r="AP76" s="437"/>
      <c r="AQ76" s="437"/>
      <c r="AR76" s="434"/>
      <c r="AS76" s="434"/>
      <c r="AT76" s="437"/>
      <c r="AU76" s="437"/>
      <c r="AV76" s="437"/>
      <c r="AW76" s="440"/>
      <c r="AX76" s="440"/>
      <c r="AY76" s="443"/>
      <c r="AZ76" s="449"/>
      <c r="BA76" s="449"/>
      <c r="BB76" s="227"/>
      <c r="BC76" s="228"/>
      <c r="BD76" s="228"/>
      <c r="BE76" s="229"/>
      <c r="BF76" s="230"/>
      <c r="BG76" s="231"/>
      <c r="BH76" s="228"/>
      <c r="BI76" s="228"/>
      <c r="BJ76" s="232"/>
    </row>
    <row r="77" spans="1:62" s="86" customFormat="1" ht="20.100000000000001" customHeight="1" x14ac:dyDescent="0.25">
      <c r="B77" s="376" t="s">
        <v>77</v>
      </c>
      <c r="C77" s="361">
        <v>19</v>
      </c>
      <c r="D77" s="373" t="s">
        <v>628</v>
      </c>
      <c r="E77" s="373"/>
      <c r="F77" s="361" t="s">
        <v>91</v>
      </c>
      <c r="G77" s="361"/>
      <c r="H77" s="352" t="s">
        <v>629</v>
      </c>
      <c r="I77" s="379"/>
      <c r="J77" s="379" t="s">
        <v>113</v>
      </c>
      <c r="K77" s="173" t="s">
        <v>630</v>
      </c>
      <c r="L77" s="199"/>
      <c r="M77" s="364" t="str">
        <f>IF(F77="gestion","impacto",IF(F77="corrupcion","impactocorrupcion",IF(F77="seguridad_de_la_informacion","impacto","")))</f>
        <v>impacto</v>
      </c>
      <c r="N77" s="361"/>
      <c r="O77" s="361"/>
      <c r="P77" s="364" t="str">
        <f>N77&amp;O77</f>
        <v/>
      </c>
      <c r="Q77" s="370" t="str">
        <f>IFERROR(VLOOKUP(P77,FORMULAS!$B$37:$C$61,2,FALSE),"")</f>
        <v/>
      </c>
      <c r="R77" s="373"/>
      <c r="S77" s="373"/>
      <c r="T77" s="112"/>
      <c r="U77" s="113">
        <f>IF(T77="Asignado",15,0)</f>
        <v>0</v>
      </c>
      <c r="V77" s="112"/>
      <c r="W77" s="113">
        <f>IF(V77="Adecuado",15,0)</f>
        <v>0</v>
      </c>
      <c r="X77" s="112"/>
      <c r="Y77" s="113">
        <f>IF(X77="Oportuna",15,0)</f>
        <v>0</v>
      </c>
      <c r="Z77" s="112"/>
      <c r="AA77" s="113">
        <f>IF(Z77="Prevenir",15,IF(Z77="Detectar",10,0))</f>
        <v>0</v>
      </c>
      <c r="AB77" s="112"/>
      <c r="AC77" s="113">
        <f>IF(AB77="Confiable",15,0)</f>
        <v>0</v>
      </c>
      <c r="AD77" s="112"/>
      <c r="AE77" s="113">
        <f>IF(AD77="Se investigan y resuelven oportunamente",15,0)</f>
        <v>0</v>
      </c>
      <c r="AF77" s="112"/>
      <c r="AG77" s="113">
        <f>IF(AF77="Completa",10,IF(AF77="incompleta",5,0))</f>
        <v>0</v>
      </c>
      <c r="AH77" s="114">
        <f t="shared" si="143"/>
        <v>0</v>
      </c>
      <c r="AI77" s="114" t="str">
        <f>IF(AH77&gt;=96,"Fuerte",IF(AH77&gt;=86,"Moderado",IF(AH77&gt;=1,"Débil","")))</f>
        <v/>
      </c>
      <c r="AJ77" s="115"/>
      <c r="AK77" s="114" t="str">
        <f>IF(AJ77="Siempre se ejecuta","Fuerte",IF(AJ77="Algunas veces","Moderado",IF(AJ77="no se ejecuta","Débil","")))</f>
        <v/>
      </c>
      <c r="AL77" s="114" t="str">
        <f>AI77&amp;AK77</f>
        <v/>
      </c>
      <c r="AM77" s="114" t="str">
        <f>IFERROR(VLOOKUP(AL77,FORMULAS!$B$69:$D$77,3,FALSE),"")</f>
        <v/>
      </c>
      <c r="AN77" s="114" t="str">
        <f>IF(AM77="fuerte",100,IF(AM77="Moderado",50,IF(AM77="débil",0,"")))</f>
        <v/>
      </c>
      <c r="AO77" s="114" t="str">
        <f>IFERROR(VLOOKUP(AL77,FORMULAS!$B$69:$D$77,2,FALSE),"")</f>
        <v/>
      </c>
      <c r="AP77" s="358">
        <f>IFERROR(AVERAGE(AN77:AN80),0)</f>
        <v>0</v>
      </c>
      <c r="AQ77" s="358" t="str">
        <f>IF(AP77&gt;=100,"Fuerte",IF(AP77&gt;=50,"Moderado",IF(AP77&gt;=1,"Débil","")))</f>
        <v/>
      </c>
      <c r="AR77" s="355"/>
      <c r="AS77" s="355"/>
      <c r="AT77" s="358" t="str">
        <f>+AQ77&amp;AR77&amp;AS77</f>
        <v/>
      </c>
      <c r="AU77" s="358">
        <f>IFERROR(VLOOKUP(AT77,FORMULAS!$B$94:$D$101,2,FALSE),0)</f>
        <v>0</v>
      </c>
      <c r="AV77" s="358">
        <f>IFERROR(VLOOKUP(AT77,FORMULAS!$B$94:$D$101,3,FALSE),0)</f>
        <v>0</v>
      </c>
      <c r="AW77" s="361" t="s">
        <v>19</v>
      </c>
      <c r="AX77" s="361" t="s">
        <v>24</v>
      </c>
      <c r="AY77" s="364" t="str">
        <f>AW77&amp;AX77</f>
        <v>ProbableMayor</v>
      </c>
      <c r="AZ77" s="367" t="str">
        <f>IFERROR(VLOOKUP(AY77,FORMULAS!$B$37:$C$61,2,FALSE),"")</f>
        <v>Riesgo extremo</v>
      </c>
      <c r="BA77" s="370" t="s">
        <v>167</v>
      </c>
      <c r="BB77" s="234" t="s">
        <v>632</v>
      </c>
      <c r="BC77" s="173" t="s">
        <v>634</v>
      </c>
      <c r="BD77" s="235" t="s">
        <v>635</v>
      </c>
      <c r="BE77" s="181" t="s">
        <v>426</v>
      </c>
      <c r="BF77" s="181" t="s">
        <v>636</v>
      </c>
      <c r="BG77" s="235" t="s">
        <v>637</v>
      </c>
      <c r="BH77" s="235" t="s">
        <v>638</v>
      </c>
      <c r="BI77" s="180"/>
      <c r="BJ77" s="182"/>
    </row>
    <row r="78" spans="1:62" s="86" customFormat="1" ht="20.100000000000001" customHeight="1" x14ac:dyDescent="0.25">
      <c r="B78" s="377"/>
      <c r="C78" s="362"/>
      <c r="D78" s="374"/>
      <c r="E78" s="374"/>
      <c r="F78" s="362"/>
      <c r="G78" s="362"/>
      <c r="H78" s="353"/>
      <c r="I78" s="380"/>
      <c r="J78" s="380"/>
      <c r="K78" s="169" t="s">
        <v>631</v>
      </c>
      <c r="L78" s="80"/>
      <c r="M78" s="365"/>
      <c r="N78" s="362"/>
      <c r="O78" s="362"/>
      <c r="P78" s="365"/>
      <c r="Q78" s="371"/>
      <c r="R78" s="374"/>
      <c r="S78" s="374"/>
      <c r="T78" s="96"/>
      <c r="U78" s="95">
        <f t="shared" ref="U78:U80" si="188">IF(T78="Asignado",15,0)</f>
        <v>0</v>
      </c>
      <c r="V78" s="96"/>
      <c r="W78" s="95">
        <f t="shared" ref="W78:W80" si="189">IF(V78="Adecuado",15,0)</f>
        <v>0</v>
      </c>
      <c r="X78" s="96"/>
      <c r="Y78" s="95">
        <f t="shared" ref="Y78:Y80" si="190">IF(X78="Oportuna",15,0)</f>
        <v>0</v>
      </c>
      <c r="Z78" s="96"/>
      <c r="AA78" s="95">
        <f t="shared" ref="AA78:AA80" si="191">IF(Z78="Prevenir",15,IF(Z78="Detectar",10,0))</f>
        <v>0</v>
      </c>
      <c r="AB78" s="96"/>
      <c r="AC78" s="95">
        <f t="shared" ref="AC78:AC80" si="192">IF(AB78="Confiable",15,0)</f>
        <v>0</v>
      </c>
      <c r="AD78" s="96"/>
      <c r="AE78" s="95">
        <f t="shared" ref="AE78:AE80" si="193">IF(AD78="Se investigan y resuelven oportunamente",15,0)</f>
        <v>0</v>
      </c>
      <c r="AF78" s="96"/>
      <c r="AG78" s="95">
        <f t="shared" ref="AG78:AG80" si="194">IF(AF78="Completa",10,IF(AF78="incompleta",5,0))</f>
        <v>0</v>
      </c>
      <c r="AH78" s="99">
        <f t="shared" si="143"/>
        <v>0</v>
      </c>
      <c r="AI78" s="99" t="str">
        <f>IF(AH78&gt;=96,"Fuerte",IF(AH78&gt;=86,"Moderado",IF(AH78&gt;=1,"Débil","")))</f>
        <v/>
      </c>
      <c r="AJ78" s="98"/>
      <c r="AK78" s="99" t="str">
        <f t="shared" ref="AK78:AK80" si="195">IF(AJ78="Siempre se ejecuta","Fuerte",IF(AJ78="Algunas veces","Moderado",IF(AJ78="no se ejecuta","Débil","")))</f>
        <v/>
      </c>
      <c r="AL78" s="99" t="str">
        <f t="shared" ref="AL78:AL80" si="196">AI78&amp;AK78</f>
        <v/>
      </c>
      <c r="AM78" s="99" t="str">
        <f>IFERROR(VLOOKUP(AL78,FORMULAS!$B$69:$D$77,3,FALSE),"")</f>
        <v/>
      </c>
      <c r="AN78" s="99" t="str">
        <f t="shared" ref="AN78:AN80" si="197">IF(AM78="fuerte",100,IF(AM78="Moderado",50,IF(AM78="débil",0,"")))</f>
        <v/>
      </c>
      <c r="AO78" s="99" t="str">
        <f>IFERROR(VLOOKUP(AL78,FORMULAS!$B$69:$C$77,2,FALSE),"")</f>
        <v/>
      </c>
      <c r="AP78" s="359"/>
      <c r="AQ78" s="359"/>
      <c r="AR78" s="356"/>
      <c r="AS78" s="356"/>
      <c r="AT78" s="359"/>
      <c r="AU78" s="359"/>
      <c r="AV78" s="359"/>
      <c r="AW78" s="362"/>
      <c r="AX78" s="362"/>
      <c r="AY78" s="365"/>
      <c r="AZ78" s="368"/>
      <c r="BA78" s="371"/>
      <c r="BB78" s="233" t="s">
        <v>633</v>
      </c>
      <c r="BC78" s="169" t="s">
        <v>634</v>
      </c>
      <c r="BD78" s="163" t="s">
        <v>635</v>
      </c>
      <c r="BE78" s="159" t="s">
        <v>426</v>
      </c>
      <c r="BF78" s="159" t="s">
        <v>636</v>
      </c>
      <c r="BG78" s="163"/>
      <c r="BH78" s="170"/>
      <c r="BI78" s="170"/>
      <c r="BJ78" s="236"/>
    </row>
    <row r="79" spans="1:62" s="86" customFormat="1" ht="20.100000000000001" customHeight="1" x14ac:dyDescent="0.25">
      <c r="B79" s="377"/>
      <c r="C79" s="362"/>
      <c r="D79" s="374"/>
      <c r="E79" s="374"/>
      <c r="F79" s="362"/>
      <c r="G79" s="362"/>
      <c r="H79" s="353"/>
      <c r="I79" s="380"/>
      <c r="J79" s="380"/>
      <c r="K79" s="169"/>
      <c r="L79" s="80"/>
      <c r="M79" s="365"/>
      <c r="N79" s="362"/>
      <c r="O79" s="362"/>
      <c r="P79" s="365"/>
      <c r="Q79" s="371"/>
      <c r="R79" s="374"/>
      <c r="S79" s="374"/>
      <c r="T79" s="96"/>
      <c r="U79" s="95">
        <f t="shared" si="188"/>
        <v>0</v>
      </c>
      <c r="V79" s="96"/>
      <c r="W79" s="95">
        <f t="shared" si="189"/>
        <v>0</v>
      </c>
      <c r="X79" s="96"/>
      <c r="Y79" s="95">
        <f t="shared" si="190"/>
        <v>0</v>
      </c>
      <c r="Z79" s="96"/>
      <c r="AA79" s="95">
        <f t="shared" si="191"/>
        <v>0</v>
      </c>
      <c r="AB79" s="96"/>
      <c r="AC79" s="95">
        <f t="shared" si="192"/>
        <v>0</v>
      </c>
      <c r="AD79" s="96"/>
      <c r="AE79" s="95">
        <f t="shared" si="193"/>
        <v>0</v>
      </c>
      <c r="AF79" s="96"/>
      <c r="AG79" s="95">
        <f t="shared" si="194"/>
        <v>0</v>
      </c>
      <c r="AH79" s="99">
        <f t="shared" si="143"/>
        <v>0</v>
      </c>
      <c r="AI79" s="99" t="str">
        <f t="shared" ref="AI79:AI80" si="198">IF(AH79&gt;=96,"Fuerte",IF(AH79&gt;=86,"Moderado",IF(AH79&gt;=1,"Débil","")))</f>
        <v/>
      </c>
      <c r="AJ79" s="98"/>
      <c r="AK79" s="99" t="str">
        <f t="shared" si="195"/>
        <v/>
      </c>
      <c r="AL79" s="99" t="str">
        <f t="shared" si="196"/>
        <v/>
      </c>
      <c r="AM79" s="99" t="str">
        <f>IFERROR(VLOOKUP(AL79,FORMULAS!$B$69:$D$77,3,FALSE),"")</f>
        <v/>
      </c>
      <c r="AN79" s="99" t="str">
        <f t="shared" si="197"/>
        <v/>
      </c>
      <c r="AO79" s="99" t="str">
        <f>IFERROR(VLOOKUP(AL79,FORMULAS!$B$69:$C$77,2,FALSE),"")</f>
        <v/>
      </c>
      <c r="AP79" s="359"/>
      <c r="AQ79" s="359"/>
      <c r="AR79" s="356"/>
      <c r="AS79" s="356"/>
      <c r="AT79" s="359"/>
      <c r="AU79" s="359"/>
      <c r="AV79" s="359"/>
      <c r="AW79" s="362"/>
      <c r="AX79" s="362"/>
      <c r="AY79" s="365"/>
      <c r="AZ79" s="368"/>
      <c r="BA79" s="371"/>
      <c r="BB79" s="233"/>
      <c r="BC79" s="169"/>
      <c r="BD79" s="170"/>
      <c r="BE79" s="159"/>
      <c r="BF79" s="159"/>
      <c r="BG79" s="163"/>
      <c r="BH79" s="170"/>
      <c r="BI79" s="170"/>
      <c r="BJ79" s="236"/>
    </row>
    <row r="80" spans="1:62" s="86" customFormat="1" ht="20.100000000000001" customHeight="1" thickBot="1" x14ac:dyDescent="0.3">
      <c r="B80" s="378"/>
      <c r="C80" s="363"/>
      <c r="D80" s="375"/>
      <c r="E80" s="375"/>
      <c r="F80" s="363"/>
      <c r="G80" s="363"/>
      <c r="H80" s="354"/>
      <c r="I80" s="381"/>
      <c r="J80" s="381"/>
      <c r="K80" s="124"/>
      <c r="L80" s="124"/>
      <c r="M80" s="366"/>
      <c r="N80" s="363"/>
      <c r="O80" s="363"/>
      <c r="P80" s="366"/>
      <c r="Q80" s="372"/>
      <c r="R80" s="375"/>
      <c r="S80" s="375"/>
      <c r="T80" s="125"/>
      <c r="U80" s="126">
        <f t="shared" si="188"/>
        <v>0</v>
      </c>
      <c r="V80" s="125"/>
      <c r="W80" s="126">
        <f t="shared" si="189"/>
        <v>0</v>
      </c>
      <c r="X80" s="125"/>
      <c r="Y80" s="126">
        <f t="shared" si="190"/>
        <v>0</v>
      </c>
      <c r="Z80" s="125"/>
      <c r="AA80" s="126">
        <f t="shared" si="191"/>
        <v>0</v>
      </c>
      <c r="AB80" s="125"/>
      <c r="AC80" s="126">
        <f t="shared" si="192"/>
        <v>0</v>
      </c>
      <c r="AD80" s="125"/>
      <c r="AE80" s="126">
        <f t="shared" si="193"/>
        <v>0</v>
      </c>
      <c r="AF80" s="125"/>
      <c r="AG80" s="126">
        <f t="shared" si="194"/>
        <v>0</v>
      </c>
      <c r="AH80" s="127">
        <f t="shared" si="143"/>
        <v>0</v>
      </c>
      <c r="AI80" s="127" t="str">
        <f t="shared" si="198"/>
        <v/>
      </c>
      <c r="AJ80" s="128"/>
      <c r="AK80" s="127" t="str">
        <f t="shared" si="195"/>
        <v/>
      </c>
      <c r="AL80" s="127" t="str">
        <f t="shared" si="196"/>
        <v/>
      </c>
      <c r="AM80" s="127" t="str">
        <f>IFERROR(VLOOKUP(AL80,FORMULAS!$B$69:$D$77,3,FALSE),"")</f>
        <v/>
      </c>
      <c r="AN80" s="127" t="str">
        <f t="shared" si="197"/>
        <v/>
      </c>
      <c r="AO80" s="127" t="str">
        <f>IFERROR(VLOOKUP(AL80,FORMULAS!$B$69:$C$77,2,FALSE),"")</f>
        <v/>
      </c>
      <c r="AP80" s="360"/>
      <c r="AQ80" s="360"/>
      <c r="AR80" s="357"/>
      <c r="AS80" s="357"/>
      <c r="AT80" s="360"/>
      <c r="AU80" s="360"/>
      <c r="AV80" s="360"/>
      <c r="AW80" s="363"/>
      <c r="AX80" s="363"/>
      <c r="AY80" s="366"/>
      <c r="AZ80" s="369"/>
      <c r="BA80" s="372"/>
      <c r="BB80" s="131"/>
      <c r="BC80" s="132"/>
      <c r="BD80" s="132"/>
      <c r="BE80" s="161"/>
      <c r="BF80" s="201"/>
      <c r="BG80" s="139"/>
      <c r="BH80" s="132"/>
      <c r="BI80" s="132"/>
      <c r="BJ80" s="156"/>
    </row>
    <row r="81" spans="2:62" s="86" customFormat="1" ht="72" x14ac:dyDescent="0.25">
      <c r="B81" s="376" t="s">
        <v>77</v>
      </c>
      <c r="C81" s="361">
        <v>20</v>
      </c>
      <c r="D81" s="373" t="s">
        <v>639</v>
      </c>
      <c r="E81" s="373"/>
      <c r="F81" s="361" t="s">
        <v>91</v>
      </c>
      <c r="G81" s="361"/>
      <c r="H81" s="373" t="s">
        <v>629</v>
      </c>
      <c r="I81" s="379"/>
      <c r="J81" s="379" t="s">
        <v>113</v>
      </c>
      <c r="K81" s="173" t="s">
        <v>640</v>
      </c>
      <c r="L81" s="199"/>
      <c r="M81" s="364" t="str">
        <f>IF(F81="gestion","impacto",IF(F81="corrupcion","impactocorrupcion",IF(F81="seguridad_de_la_informacion","impacto","")))</f>
        <v>impacto</v>
      </c>
      <c r="N81" s="361"/>
      <c r="O81" s="361"/>
      <c r="P81" s="364" t="str">
        <f>N81&amp;O81</f>
        <v/>
      </c>
      <c r="Q81" s="370" t="str">
        <f>IFERROR(VLOOKUP(P81,FORMULAS!$B$37:$C$61,2,FALSE),"")</f>
        <v/>
      </c>
      <c r="R81" s="373"/>
      <c r="S81" s="373"/>
      <c r="T81" s="112"/>
      <c r="U81" s="113">
        <f>IF(T81="Asignado",15,0)</f>
        <v>0</v>
      </c>
      <c r="V81" s="112"/>
      <c r="W81" s="113">
        <f>IF(V81="Adecuado",15,0)</f>
        <v>0</v>
      </c>
      <c r="X81" s="112"/>
      <c r="Y81" s="113">
        <f>IF(X81="Oportuna",15,0)</f>
        <v>0</v>
      </c>
      <c r="Z81" s="112"/>
      <c r="AA81" s="113">
        <f>IF(Z81="Prevenir",15,IF(Z81="Detectar",10,0))</f>
        <v>0</v>
      </c>
      <c r="AB81" s="112"/>
      <c r="AC81" s="113">
        <f>IF(AB81="Confiable",15,0)</f>
        <v>0</v>
      </c>
      <c r="AD81" s="112"/>
      <c r="AE81" s="113">
        <f>IF(AD81="Se investigan y resuelven oportunamente",15,0)</f>
        <v>0</v>
      </c>
      <c r="AF81" s="112"/>
      <c r="AG81" s="113">
        <f>IF(AF81="Completa",10,IF(AF81="incompleta",5,0))</f>
        <v>0</v>
      </c>
      <c r="AH81" s="116">
        <f t="shared" ref="AH81:AH90" si="199">U81+W81+Y81+AA81+AC81+AE81+AG81</f>
        <v>0</v>
      </c>
      <c r="AI81" s="116" t="str">
        <f>IF(AH81&gt;=96,"Fuerte",IF(AH81&gt;=86,"Moderado",IF(AH81&gt;=1,"Débil","")))</f>
        <v/>
      </c>
      <c r="AJ81" s="117"/>
      <c r="AK81" s="116" t="str">
        <f>IF(AJ81="Siempre se ejecuta","Fuerte",IF(AJ81="Algunas veces","Moderado",IF(AJ81="no se ejecuta","Débil","")))</f>
        <v/>
      </c>
      <c r="AL81" s="116" t="str">
        <f>AI81&amp;AK81</f>
        <v/>
      </c>
      <c r="AM81" s="116" t="str">
        <f>IFERROR(VLOOKUP(AL81,FORMULAS!$B$69:$D$77,3,FALSE),"")</f>
        <v/>
      </c>
      <c r="AN81" s="116" t="str">
        <f>IF(AM81="fuerte",100,IF(AM81="Moderado",50,IF(AM81="débil",0,"")))</f>
        <v/>
      </c>
      <c r="AO81" s="116" t="str">
        <f>IFERROR(VLOOKUP(AL81,FORMULAS!$B$69:$D$77,2,FALSE),"")</f>
        <v/>
      </c>
      <c r="AP81" s="358">
        <f>IFERROR(AVERAGE(AN81:AN84),0)</f>
        <v>0</v>
      </c>
      <c r="AQ81" s="358" t="str">
        <f>IF(AP81&gt;=100,"Fuerte",IF(AP81&gt;=50,"Moderado",IF(AP81&gt;=1,"Débil","")))</f>
        <v/>
      </c>
      <c r="AR81" s="355"/>
      <c r="AS81" s="355"/>
      <c r="AT81" s="358" t="str">
        <f>+AQ81&amp;AR81&amp;AS81</f>
        <v/>
      </c>
      <c r="AU81" s="358">
        <f>IFERROR(VLOOKUP(AT81,FORMULAS!$B$94:$D$101,2,FALSE),0)</f>
        <v>0</v>
      </c>
      <c r="AV81" s="358">
        <f>IFERROR(VLOOKUP(AT81,FORMULAS!$B$94:$D$101,3,FALSE),0)</f>
        <v>0</v>
      </c>
      <c r="AW81" s="361" t="s">
        <v>19</v>
      </c>
      <c r="AX81" s="361" t="s">
        <v>24</v>
      </c>
      <c r="AY81" s="364" t="str">
        <f>AW81&amp;AX81</f>
        <v>ProbableMayor</v>
      </c>
      <c r="AZ81" s="367" t="str">
        <f>IFERROR(VLOOKUP(AY81,FORMULAS!$B$37:$C$61,2,FALSE),"")</f>
        <v>Riesgo extremo</v>
      </c>
      <c r="BA81" s="370" t="s">
        <v>167</v>
      </c>
      <c r="BB81" s="234" t="s">
        <v>643</v>
      </c>
      <c r="BC81" s="173" t="s">
        <v>646</v>
      </c>
      <c r="BD81" s="180" t="s">
        <v>635</v>
      </c>
      <c r="BE81" s="181" t="s">
        <v>426</v>
      </c>
      <c r="BF81" s="181" t="s">
        <v>636</v>
      </c>
      <c r="BG81" s="235" t="s">
        <v>647</v>
      </c>
      <c r="BH81" s="180"/>
      <c r="BI81" s="180"/>
      <c r="BJ81" s="182"/>
    </row>
    <row r="82" spans="2:62" s="86" customFormat="1" ht="48" x14ac:dyDescent="0.25">
      <c r="B82" s="377"/>
      <c r="C82" s="362"/>
      <c r="D82" s="374"/>
      <c r="E82" s="374"/>
      <c r="F82" s="362"/>
      <c r="G82" s="362"/>
      <c r="H82" s="374"/>
      <c r="I82" s="380"/>
      <c r="J82" s="380"/>
      <c r="K82" s="169" t="s">
        <v>641</v>
      </c>
      <c r="L82" s="80"/>
      <c r="M82" s="365"/>
      <c r="N82" s="362"/>
      <c r="O82" s="362"/>
      <c r="P82" s="365"/>
      <c r="Q82" s="371"/>
      <c r="R82" s="374"/>
      <c r="S82" s="374"/>
      <c r="T82" s="102"/>
      <c r="U82" s="106">
        <f t="shared" ref="U82:U90" si="200">IF(T82="Asignado",15,0)</f>
        <v>0</v>
      </c>
      <c r="V82" s="102"/>
      <c r="W82" s="106">
        <f t="shared" ref="W82:W91" si="201">IF(V82="Adecuado",15,0)</f>
        <v>0</v>
      </c>
      <c r="X82" s="102"/>
      <c r="Y82" s="106">
        <f t="shared" ref="Y82:Y91" si="202">IF(X82="Oportuna",15,0)</f>
        <v>0</v>
      </c>
      <c r="Z82" s="102"/>
      <c r="AA82" s="106">
        <f t="shared" ref="AA82:AA91" si="203">IF(Z82="Prevenir",15,IF(Z82="Detectar",10,0))</f>
        <v>0</v>
      </c>
      <c r="AB82" s="102"/>
      <c r="AC82" s="106">
        <f t="shared" ref="AC82:AC90" si="204">IF(AB82="Confiable",15,0)</f>
        <v>0</v>
      </c>
      <c r="AD82" s="102"/>
      <c r="AE82" s="106">
        <f t="shared" ref="AE82:AE91" si="205">IF(AD82="Se investigan y resuelven oportunamente",15,0)</f>
        <v>0</v>
      </c>
      <c r="AF82" s="102"/>
      <c r="AG82" s="106">
        <f t="shared" ref="AG82:AG90" si="206">IF(AF82="Completa",10,IF(AF82="incompleta",5,0))</f>
        <v>0</v>
      </c>
      <c r="AH82" s="105">
        <f t="shared" si="199"/>
        <v>0</v>
      </c>
      <c r="AI82" s="105" t="str">
        <f>IF(AH82&gt;=96,"Fuerte",IF(AH82&gt;=86,"Moderado",IF(AH82&gt;=1,"Débil","")))</f>
        <v/>
      </c>
      <c r="AJ82" s="107"/>
      <c r="AK82" s="105" t="str">
        <f t="shared" ref="AK82:AK90" si="207">IF(AJ82="Siempre se ejecuta","Fuerte",IF(AJ82="Algunas veces","Moderado",IF(AJ82="no se ejecuta","Débil","")))</f>
        <v/>
      </c>
      <c r="AL82" s="105" t="str">
        <f t="shared" ref="AL82:AL90" si="208">AI82&amp;AK82</f>
        <v/>
      </c>
      <c r="AM82" s="105" t="str">
        <f>IFERROR(VLOOKUP(AL82,FORMULAS!$B$69:$D$77,3,FALSE),"")</f>
        <v/>
      </c>
      <c r="AN82" s="105" t="str">
        <f t="shared" ref="AN82:AN90" si="209">IF(AM82="fuerte",100,IF(AM82="Moderado",50,IF(AM82="débil",0,"")))</f>
        <v/>
      </c>
      <c r="AO82" s="105" t="str">
        <f>IFERROR(VLOOKUP(AL82,FORMULAS!$B$69:$C$77,2,FALSE),"")</f>
        <v/>
      </c>
      <c r="AP82" s="359"/>
      <c r="AQ82" s="359"/>
      <c r="AR82" s="356"/>
      <c r="AS82" s="356"/>
      <c r="AT82" s="359"/>
      <c r="AU82" s="359"/>
      <c r="AV82" s="359"/>
      <c r="AW82" s="362"/>
      <c r="AX82" s="362"/>
      <c r="AY82" s="365"/>
      <c r="AZ82" s="368"/>
      <c r="BA82" s="371"/>
      <c r="BB82" s="233" t="s">
        <v>644</v>
      </c>
      <c r="BC82" s="169" t="s">
        <v>648</v>
      </c>
      <c r="BD82" s="170" t="s">
        <v>635</v>
      </c>
      <c r="BE82" s="159" t="s">
        <v>426</v>
      </c>
      <c r="BF82" s="159" t="s">
        <v>649</v>
      </c>
      <c r="BG82" s="163"/>
      <c r="BH82" s="170"/>
      <c r="BI82" s="170"/>
      <c r="BJ82" s="236"/>
    </row>
    <row r="83" spans="2:62" s="86" customFormat="1" ht="48" x14ac:dyDescent="0.25">
      <c r="B83" s="377"/>
      <c r="C83" s="362"/>
      <c r="D83" s="374"/>
      <c r="E83" s="374"/>
      <c r="F83" s="362"/>
      <c r="G83" s="362"/>
      <c r="H83" s="374"/>
      <c r="I83" s="380"/>
      <c r="J83" s="380"/>
      <c r="K83" s="169" t="s">
        <v>642</v>
      </c>
      <c r="L83" s="80"/>
      <c r="M83" s="365"/>
      <c r="N83" s="362"/>
      <c r="O83" s="362"/>
      <c r="P83" s="365"/>
      <c r="Q83" s="371"/>
      <c r="R83" s="374"/>
      <c r="S83" s="374"/>
      <c r="T83" s="102"/>
      <c r="U83" s="106">
        <f t="shared" si="200"/>
        <v>0</v>
      </c>
      <c r="V83" s="102"/>
      <c r="W83" s="106">
        <f t="shared" si="201"/>
        <v>0</v>
      </c>
      <c r="X83" s="102"/>
      <c r="Y83" s="106">
        <f t="shared" si="202"/>
        <v>0</v>
      </c>
      <c r="Z83" s="102"/>
      <c r="AA83" s="106">
        <f t="shared" si="203"/>
        <v>0</v>
      </c>
      <c r="AB83" s="102"/>
      <c r="AC83" s="106">
        <f t="shared" si="204"/>
        <v>0</v>
      </c>
      <c r="AD83" s="102"/>
      <c r="AE83" s="106">
        <f t="shared" si="205"/>
        <v>0</v>
      </c>
      <c r="AF83" s="102"/>
      <c r="AG83" s="106">
        <f t="shared" si="206"/>
        <v>0</v>
      </c>
      <c r="AH83" s="105">
        <f t="shared" si="199"/>
        <v>0</v>
      </c>
      <c r="AI83" s="105" t="str">
        <f t="shared" ref="AI83:AI90" si="210">IF(AH83&gt;=96,"Fuerte",IF(AH83&gt;=86,"Moderado",IF(AH83&gt;=1,"Débil","")))</f>
        <v/>
      </c>
      <c r="AJ83" s="107"/>
      <c r="AK83" s="105" t="str">
        <f t="shared" si="207"/>
        <v/>
      </c>
      <c r="AL83" s="105" t="str">
        <f t="shared" si="208"/>
        <v/>
      </c>
      <c r="AM83" s="105" t="str">
        <f>IFERROR(VLOOKUP(AL83,FORMULAS!$B$69:$D$77,3,FALSE),"")</f>
        <v/>
      </c>
      <c r="AN83" s="105" t="str">
        <f t="shared" si="209"/>
        <v/>
      </c>
      <c r="AO83" s="105" t="str">
        <f>IFERROR(VLOOKUP(AL83,FORMULAS!$B$69:$C$77,2,FALSE),"")</f>
        <v/>
      </c>
      <c r="AP83" s="359"/>
      <c r="AQ83" s="359"/>
      <c r="AR83" s="356"/>
      <c r="AS83" s="356"/>
      <c r="AT83" s="359"/>
      <c r="AU83" s="359"/>
      <c r="AV83" s="359"/>
      <c r="AW83" s="362"/>
      <c r="AX83" s="362"/>
      <c r="AY83" s="365"/>
      <c r="AZ83" s="368"/>
      <c r="BA83" s="371"/>
      <c r="BB83" s="233" t="s">
        <v>645</v>
      </c>
      <c r="BC83" s="169" t="s">
        <v>650</v>
      </c>
      <c r="BD83" s="170" t="s">
        <v>635</v>
      </c>
      <c r="BE83" s="159" t="s">
        <v>426</v>
      </c>
      <c r="BF83" s="159" t="s">
        <v>651</v>
      </c>
      <c r="BG83" s="163"/>
      <c r="BH83" s="170"/>
      <c r="BI83" s="170"/>
      <c r="BJ83" s="236"/>
    </row>
    <row r="84" spans="2:62" s="86" customFormat="1" ht="20.100000000000001" customHeight="1" thickBot="1" x14ac:dyDescent="0.3">
      <c r="B84" s="378"/>
      <c r="C84" s="363"/>
      <c r="D84" s="375"/>
      <c r="E84" s="375"/>
      <c r="F84" s="363"/>
      <c r="G84" s="363"/>
      <c r="H84" s="375"/>
      <c r="I84" s="381"/>
      <c r="J84" s="381"/>
      <c r="K84" s="124"/>
      <c r="L84" s="124"/>
      <c r="M84" s="366"/>
      <c r="N84" s="363"/>
      <c r="O84" s="363"/>
      <c r="P84" s="366"/>
      <c r="Q84" s="372"/>
      <c r="R84" s="375"/>
      <c r="S84" s="375"/>
      <c r="T84" s="125"/>
      <c r="U84" s="126">
        <f t="shared" si="200"/>
        <v>0</v>
      </c>
      <c r="V84" s="125"/>
      <c r="W84" s="126">
        <f t="shared" si="201"/>
        <v>0</v>
      </c>
      <c r="X84" s="125"/>
      <c r="Y84" s="126">
        <f t="shared" si="202"/>
        <v>0</v>
      </c>
      <c r="Z84" s="125"/>
      <c r="AA84" s="126">
        <f t="shared" si="203"/>
        <v>0</v>
      </c>
      <c r="AB84" s="125"/>
      <c r="AC84" s="126">
        <f t="shared" si="204"/>
        <v>0</v>
      </c>
      <c r="AD84" s="125"/>
      <c r="AE84" s="126">
        <f t="shared" si="205"/>
        <v>0</v>
      </c>
      <c r="AF84" s="125"/>
      <c r="AG84" s="126">
        <f t="shared" si="206"/>
        <v>0</v>
      </c>
      <c r="AH84" s="129">
        <f t="shared" si="199"/>
        <v>0</v>
      </c>
      <c r="AI84" s="129" t="str">
        <f t="shared" si="210"/>
        <v/>
      </c>
      <c r="AJ84" s="130"/>
      <c r="AK84" s="129" t="str">
        <f t="shared" si="207"/>
        <v/>
      </c>
      <c r="AL84" s="129" t="str">
        <f t="shared" si="208"/>
        <v/>
      </c>
      <c r="AM84" s="129" t="str">
        <f>IFERROR(VLOOKUP(AL84,FORMULAS!$B$69:$D$77,3,FALSE),"")</f>
        <v/>
      </c>
      <c r="AN84" s="129" t="str">
        <f t="shared" si="209"/>
        <v/>
      </c>
      <c r="AO84" s="129" t="str">
        <f>IFERROR(VLOOKUP(AL84,FORMULAS!$B$69:$C$77,2,FALSE),"")</f>
        <v/>
      </c>
      <c r="AP84" s="360"/>
      <c r="AQ84" s="360"/>
      <c r="AR84" s="357"/>
      <c r="AS84" s="357"/>
      <c r="AT84" s="360"/>
      <c r="AU84" s="360"/>
      <c r="AV84" s="360"/>
      <c r="AW84" s="363"/>
      <c r="AX84" s="363"/>
      <c r="AY84" s="366"/>
      <c r="AZ84" s="369"/>
      <c r="BA84" s="372"/>
      <c r="BB84" s="131"/>
      <c r="BC84" s="132"/>
      <c r="BD84" s="132"/>
      <c r="BE84" s="161"/>
      <c r="BF84" s="201"/>
      <c r="BG84" s="139"/>
      <c r="BH84" s="132"/>
      <c r="BI84" s="132"/>
      <c r="BJ84" s="156"/>
    </row>
    <row r="85" spans="2:62" s="86" customFormat="1" ht="60" x14ac:dyDescent="0.25">
      <c r="B85" s="407" t="s">
        <v>77</v>
      </c>
      <c r="C85" s="481">
        <v>21</v>
      </c>
      <c r="D85" s="501" t="s">
        <v>652</v>
      </c>
      <c r="E85" s="405" t="s">
        <v>653</v>
      </c>
      <c r="F85" s="481" t="s">
        <v>91</v>
      </c>
      <c r="G85" s="481" t="s">
        <v>101</v>
      </c>
      <c r="H85" s="405" t="s">
        <v>654</v>
      </c>
      <c r="I85" s="485" t="s">
        <v>129</v>
      </c>
      <c r="J85" s="485" t="s">
        <v>113</v>
      </c>
      <c r="K85" s="173" t="s">
        <v>655</v>
      </c>
      <c r="L85" s="173" t="s">
        <v>656</v>
      </c>
      <c r="M85" s="504" t="str">
        <f t="shared" ref="M85" si="211">IF(F85="gestion","impacto",IF(F85="corrupcion","impactocorrupcion",IF(F85="seguridad_de_la_informacion","impacto","")))</f>
        <v>impacto</v>
      </c>
      <c r="N85" s="481" t="s">
        <v>19</v>
      </c>
      <c r="O85" s="481" t="s">
        <v>23</v>
      </c>
      <c r="P85" s="504" t="str">
        <f t="shared" ref="P85" si="212">N85&amp;O85</f>
        <v>ProbableModerado</v>
      </c>
      <c r="Q85" s="506" t="str">
        <f>IFERROR(VLOOKUP(P85,[10]FORMULAS!$B$37:$C$61,2,FALSE),"")</f>
        <v>Riesgo alto</v>
      </c>
      <c r="R85" s="405" t="s">
        <v>657</v>
      </c>
      <c r="S85" s="405"/>
      <c r="T85" s="174" t="s">
        <v>286</v>
      </c>
      <c r="U85" s="175">
        <f t="shared" si="200"/>
        <v>15</v>
      </c>
      <c r="V85" s="174" t="s">
        <v>287</v>
      </c>
      <c r="W85" s="175">
        <f t="shared" si="201"/>
        <v>15</v>
      </c>
      <c r="X85" s="174" t="s">
        <v>288</v>
      </c>
      <c r="Y85" s="175">
        <f t="shared" si="202"/>
        <v>15</v>
      </c>
      <c r="Z85" s="174" t="s">
        <v>291</v>
      </c>
      <c r="AA85" s="175">
        <f t="shared" si="203"/>
        <v>15</v>
      </c>
      <c r="AB85" s="174" t="s">
        <v>290</v>
      </c>
      <c r="AC85" s="175">
        <f t="shared" si="204"/>
        <v>15</v>
      </c>
      <c r="AD85" s="174" t="s">
        <v>292</v>
      </c>
      <c r="AE85" s="175">
        <f t="shared" si="205"/>
        <v>15</v>
      </c>
      <c r="AF85" s="174" t="s">
        <v>289</v>
      </c>
      <c r="AG85" s="175">
        <f t="shared" si="206"/>
        <v>10</v>
      </c>
      <c r="AH85" s="178">
        <f t="shared" si="199"/>
        <v>100</v>
      </c>
      <c r="AI85" s="178" t="str">
        <f t="shared" si="210"/>
        <v>Fuerte</v>
      </c>
      <c r="AJ85" s="179" t="s">
        <v>293</v>
      </c>
      <c r="AK85" s="178" t="str">
        <f t="shared" si="207"/>
        <v>Fuerte</v>
      </c>
      <c r="AL85" s="178" t="str">
        <f t="shared" si="208"/>
        <v>FuerteFuerte</v>
      </c>
      <c r="AM85" s="178" t="str">
        <f>IFERROR(VLOOKUP(AL85,[10]FORMULAS!$B$69:$D$77,3,FALSE),"")</f>
        <v>Fuerte</v>
      </c>
      <c r="AN85" s="178">
        <f t="shared" si="209"/>
        <v>100</v>
      </c>
      <c r="AO85" s="178" t="str">
        <f>IFERROR(VLOOKUP(AL85,[10]FORMULAS!$B$69:$D$77,2,FALSE),"")</f>
        <v>No</v>
      </c>
      <c r="AP85" s="508">
        <f>IFERROR(AVERAGE(AN85:AN86),0)</f>
        <v>100</v>
      </c>
      <c r="AQ85" s="508" t="str">
        <f t="shared" ref="AQ85" si="213">IF(AP85&gt;=100,"Fuerte",IF(AP85&gt;=50,"Moderado",IF(AP85&gt;=1,"Débil","")))</f>
        <v>Fuerte</v>
      </c>
      <c r="AR85" s="510" t="s">
        <v>160</v>
      </c>
      <c r="AS85" s="510" t="s">
        <v>162</v>
      </c>
      <c r="AT85" s="508" t="str">
        <f t="shared" ref="AT85" si="214">+AQ85&amp;AR85&amp;AS85</f>
        <v>FuerteDirectamenteIndirectamente</v>
      </c>
      <c r="AU85" s="508">
        <f>IFERROR(VLOOKUP(AT85,[10]FORMULAS!$B$94:$D$101,2,FALSE),0)</f>
        <v>2</v>
      </c>
      <c r="AV85" s="508">
        <f>IFERROR(VLOOKUP(AT85,[10]FORMULAS!$B$94:$D$101,3,FALSE),0)</f>
        <v>1</v>
      </c>
      <c r="AW85" s="481" t="s">
        <v>17</v>
      </c>
      <c r="AX85" s="481" t="s">
        <v>22</v>
      </c>
      <c r="AY85" s="504" t="str">
        <f t="shared" ref="AY85" si="215">AW85&amp;AX85</f>
        <v>ImprobableMenor</v>
      </c>
      <c r="AZ85" s="582" t="str">
        <f>IFERROR(VLOOKUP(AY85,[10]FORMULAS!$B$37:$C$61,2,FALSE),"")</f>
        <v>Riesgo bajo</v>
      </c>
      <c r="BA85" s="506" t="s">
        <v>167</v>
      </c>
      <c r="BB85" s="234" t="s">
        <v>661</v>
      </c>
      <c r="BC85" s="173" t="s">
        <v>662</v>
      </c>
      <c r="BD85" s="180" t="s">
        <v>635</v>
      </c>
      <c r="BE85" s="181" t="s">
        <v>426</v>
      </c>
      <c r="BF85" s="181" t="s">
        <v>663</v>
      </c>
      <c r="BG85" s="235" t="s">
        <v>647</v>
      </c>
      <c r="BH85" s="180"/>
      <c r="BI85" s="180"/>
      <c r="BJ85" s="182"/>
    </row>
    <row r="86" spans="2:62" s="86" customFormat="1" ht="48.75" thickBot="1" x14ac:dyDescent="0.3">
      <c r="B86" s="409"/>
      <c r="C86" s="489"/>
      <c r="D86" s="502"/>
      <c r="E86" s="490"/>
      <c r="F86" s="489"/>
      <c r="G86" s="489"/>
      <c r="H86" s="490"/>
      <c r="I86" s="503"/>
      <c r="J86" s="503"/>
      <c r="K86" s="183" t="s">
        <v>658</v>
      </c>
      <c r="L86" s="183" t="s">
        <v>659</v>
      </c>
      <c r="M86" s="505"/>
      <c r="N86" s="489"/>
      <c r="O86" s="489"/>
      <c r="P86" s="505"/>
      <c r="Q86" s="507"/>
      <c r="R86" s="490" t="s">
        <v>660</v>
      </c>
      <c r="S86" s="490"/>
      <c r="T86" s="184" t="s">
        <v>286</v>
      </c>
      <c r="U86" s="185">
        <f t="shared" si="200"/>
        <v>15</v>
      </c>
      <c r="V86" s="184" t="s">
        <v>287</v>
      </c>
      <c r="W86" s="185">
        <f t="shared" si="201"/>
        <v>15</v>
      </c>
      <c r="X86" s="184" t="s">
        <v>288</v>
      </c>
      <c r="Y86" s="185">
        <f t="shared" si="202"/>
        <v>15</v>
      </c>
      <c r="Z86" s="184" t="s">
        <v>291</v>
      </c>
      <c r="AA86" s="185">
        <f t="shared" si="203"/>
        <v>15</v>
      </c>
      <c r="AB86" s="184" t="s">
        <v>290</v>
      </c>
      <c r="AC86" s="185">
        <f t="shared" si="204"/>
        <v>15</v>
      </c>
      <c r="AD86" s="184" t="s">
        <v>292</v>
      </c>
      <c r="AE86" s="185">
        <f t="shared" si="205"/>
        <v>15</v>
      </c>
      <c r="AF86" s="184" t="s">
        <v>289</v>
      </c>
      <c r="AG86" s="185">
        <f t="shared" si="206"/>
        <v>10</v>
      </c>
      <c r="AH86" s="188">
        <f t="shared" si="199"/>
        <v>100</v>
      </c>
      <c r="AI86" s="188" t="str">
        <f t="shared" si="210"/>
        <v>Fuerte</v>
      </c>
      <c r="AJ86" s="189" t="s">
        <v>293</v>
      </c>
      <c r="AK86" s="188" t="str">
        <f t="shared" si="207"/>
        <v>Fuerte</v>
      </c>
      <c r="AL86" s="188" t="str">
        <f t="shared" si="208"/>
        <v>FuerteFuerte</v>
      </c>
      <c r="AM86" s="188" t="str">
        <f>IFERROR(VLOOKUP(AL86,[10]FORMULAS!$B$69:$D$77,3,FALSE),"")</f>
        <v>Fuerte</v>
      </c>
      <c r="AN86" s="188">
        <f t="shared" si="209"/>
        <v>100</v>
      </c>
      <c r="AO86" s="188" t="str">
        <f>IFERROR(VLOOKUP(AL86,[10]FORMULAS!$B$69:$C$77,2,FALSE),"")</f>
        <v>No</v>
      </c>
      <c r="AP86" s="509"/>
      <c r="AQ86" s="509"/>
      <c r="AR86" s="511"/>
      <c r="AS86" s="511"/>
      <c r="AT86" s="509"/>
      <c r="AU86" s="509"/>
      <c r="AV86" s="509"/>
      <c r="AW86" s="489"/>
      <c r="AX86" s="489"/>
      <c r="AY86" s="505"/>
      <c r="AZ86" s="583"/>
      <c r="BA86" s="507"/>
      <c r="BB86" s="271" t="s">
        <v>664</v>
      </c>
      <c r="BC86" s="183" t="s">
        <v>665</v>
      </c>
      <c r="BD86" s="190" t="s">
        <v>635</v>
      </c>
      <c r="BE86" s="191" t="s">
        <v>426</v>
      </c>
      <c r="BF86" s="165" t="s">
        <v>666</v>
      </c>
      <c r="BG86" s="272"/>
      <c r="BH86" s="190"/>
      <c r="BI86" s="190"/>
      <c r="BJ86" s="192"/>
    </row>
    <row r="87" spans="2:62" s="86" customFormat="1" ht="48" x14ac:dyDescent="0.25">
      <c r="B87" s="407" t="s">
        <v>77</v>
      </c>
      <c r="C87" s="481">
        <v>22</v>
      </c>
      <c r="D87" s="405" t="s">
        <v>667</v>
      </c>
      <c r="E87" s="405" t="s">
        <v>668</v>
      </c>
      <c r="F87" s="481" t="s">
        <v>91</v>
      </c>
      <c r="G87" s="481" t="s">
        <v>99</v>
      </c>
      <c r="H87" s="405" t="s">
        <v>669</v>
      </c>
      <c r="I87" s="584" t="s">
        <v>128</v>
      </c>
      <c r="J87" s="584" t="s">
        <v>114</v>
      </c>
      <c r="K87" s="173" t="s">
        <v>670</v>
      </c>
      <c r="L87" s="173" t="s">
        <v>656</v>
      </c>
      <c r="M87" s="504" t="str">
        <f t="shared" ref="M87" si="216">IF(F87="gestion","impacto",IF(F87="corrupcion","impactocorrupcion",IF(F87="seguridad_de_la_informacion","impacto","")))</f>
        <v>impacto</v>
      </c>
      <c r="N87" s="481" t="s">
        <v>19</v>
      </c>
      <c r="O87" s="481" t="s">
        <v>24</v>
      </c>
      <c r="P87" s="504" t="str">
        <f t="shared" ref="P87" si="217">N87&amp;O87</f>
        <v>ProbableMayor</v>
      </c>
      <c r="Q87" s="506" t="str">
        <f>IFERROR(VLOOKUP(P87,[10]FORMULAS!$B$37:$C$61,2,FALSE),"")</f>
        <v>Riesgo extremo</v>
      </c>
      <c r="R87" s="405" t="s">
        <v>671</v>
      </c>
      <c r="S87" s="405"/>
      <c r="T87" s="174" t="s">
        <v>286</v>
      </c>
      <c r="U87" s="175">
        <f t="shared" si="200"/>
        <v>15</v>
      </c>
      <c r="V87" s="174" t="s">
        <v>287</v>
      </c>
      <c r="W87" s="175">
        <f t="shared" si="201"/>
        <v>15</v>
      </c>
      <c r="X87" s="174" t="s">
        <v>288</v>
      </c>
      <c r="Y87" s="175">
        <f t="shared" si="202"/>
        <v>15</v>
      </c>
      <c r="Z87" s="174" t="s">
        <v>291</v>
      </c>
      <c r="AA87" s="175">
        <f t="shared" si="203"/>
        <v>15</v>
      </c>
      <c r="AB87" s="174" t="s">
        <v>290</v>
      </c>
      <c r="AC87" s="175">
        <f t="shared" si="204"/>
        <v>15</v>
      </c>
      <c r="AD87" s="174" t="s">
        <v>292</v>
      </c>
      <c r="AE87" s="175">
        <f t="shared" si="205"/>
        <v>15</v>
      </c>
      <c r="AF87" s="174" t="s">
        <v>289</v>
      </c>
      <c r="AG87" s="175">
        <f t="shared" si="206"/>
        <v>10</v>
      </c>
      <c r="AH87" s="178">
        <f t="shared" si="199"/>
        <v>100</v>
      </c>
      <c r="AI87" s="178" t="str">
        <f t="shared" si="210"/>
        <v>Fuerte</v>
      </c>
      <c r="AJ87" s="179" t="s">
        <v>293</v>
      </c>
      <c r="AK87" s="178" t="str">
        <f t="shared" si="207"/>
        <v>Fuerte</v>
      </c>
      <c r="AL87" s="178" t="str">
        <f t="shared" si="208"/>
        <v>FuerteFuerte</v>
      </c>
      <c r="AM87" s="178" t="str">
        <f>IFERROR(VLOOKUP(AL87,[10]FORMULAS!$B$69:$D$77,3,FALSE),"")</f>
        <v>Fuerte</v>
      </c>
      <c r="AN87" s="178">
        <f t="shared" si="209"/>
        <v>100</v>
      </c>
      <c r="AO87" s="178" t="str">
        <f>IFERROR(VLOOKUP(AL87,[10]FORMULAS!$B$69:$D$77,2,FALSE),"")</f>
        <v>No</v>
      </c>
      <c r="AP87" s="508">
        <f t="shared" ref="AP87" si="218">IFERROR(AVERAGE(AN87:AN90),0)</f>
        <v>100</v>
      </c>
      <c r="AQ87" s="508" t="str">
        <f t="shared" ref="AQ87" si="219">IF(AP87&gt;=100,"Fuerte",IF(AP87&gt;=50,"Moderado",IF(AP87&gt;=1,"Débil","")))</f>
        <v>Fuerte</v>
      </c>
      <c r="AR87" s="510" t="s">
        <v>160</v>
      </c>
      <c r="AS87" s="510" t="s">
        <v>162</v>
      </c>
      <c r="AT87" s="508" t="str">
        <f t="shared" ref="AT87" si="220">+AQ87&amp;AR87&amp;AS87</f>
        <v>FuerteDirectamenteIndirectamente</v>
      </c>
      <c r="AU87" s="508">
        <f>IFERROR(VLOOKUP(AT87,[10]FORMULAS!$B$94:$D$101,2,FALSE),0)</f>
        <v>2</v>
      </c>
      <c r="AV87" s="508">
        <f>IFERROR(VLOOKUP(AT87,[10]FORMULAS!$B$94:$D$101,3,FALSE),0)</f>
        <v>1</v>
      </c>
      <c r="AW87" s="481" t="s">
        <v>17</v>
      </c>
      <c r="AX87" s="481" t="s">
        <v>23</v>
      </c>
      <c r="AY87" s="504" t="str">
        <f t="shared" ref="AY87" si="221">AW87&amp;AX87</f>
        <v>ImprobableModerado</v>
      </c>
      <c r="AZ87" s="582" t="str">
        <f>IFERROR(VLOOKUP(AY87,[10]FORMULAS!$B$37:$C$61,2,FALSE),"")</f>
        <v>Riesgo moderado</v>
      </c>
      <c r="BA87" s="506" t="s">
        <v>167</v>
      </c>
      <c r="BB87" s="234" t="s">
        <v>679</v>
      </c>
      <c r="BC87" s="173" t="s">
        <v>680</v>
      </c>
      <c r="BD87" s="180" t="s">
        <v>635</v>
      </c>
      <c r="BE87" s="181" t="s">
        <v>426</v>
      </c>
      <c r="BF87" s="181" t="s">
        <v>681</v>
      </c>
      <c r="BG87" s="235" t="s">
        <v>682</v>
      </c>
      <c r="BH87" s="180" t="s">
        <v>683</v>
      </c>
      <c r="BI87" s="180" t="s">
        <v>684</v>
      </c>
      <c r="BJ87" s="182" t="s">
        <v>685</v>
      </c>
    </row>
    <row r="88" spans="2:62" s="86" customFormat="1" ht="48" x14ac:dyDescent="0.25">
      <c r="B88" s="408"/>
      <c r="C88" s="482"/>
      <c r="D88" s="406"/>
      <c r="E88" s="406"/>
      <c r="F88" s="482"/>
      <c r="G88" s="482"/>
      <c r="H88" s="406"/>
      <c r="I88" s="585"/>
      <c r="J88" s="585"/>
      <c r="K88" s="169" t="s">
        <v>672</v>
      </c>
      <c r="L88" s="169" t="s">
        <v>673</v>
      </c>
      <c r="M88" s="587"/>
      <c r="N88" s="482"/>
      <c r="O88" s="482"/>
      <c r="P88" s="587"/>
      <c r="Q88" s="588"/>
      <c r="R88" s="406" t="s">
        <v>674</v>
      </c>
      <c r="S88" s="406"/>
      <c r="T88" s="248" t="s">
        <v>286</v>
      </c>
      <c r="U88" s="249">
        <f t="shared" si="200"/>
        <v>15</v>
      </c>
      <c r="V88" s="248" t="s">
        <v>287</v>
      </c>
      <c r="W88" s="249">
        <f t="shared" si="201"/>
        <v>15</v>
      </c>
      <c r="X88" s="248" t="s">
        <v>288</v>
      </c>
      <c r="Y88" s="249">
        <f t="shared" si="202"/>
        <v>15</v>
      </c>
      <c r="Z88" s="248" t="s">
        <v>291</v>
      </c>
      <c r="AA88" s="249">
        <f t="shared" si="203"/>
        <v>15</v>
      </c>
      <c r="AB88" s="248" t="s">
        <v>290</v>
      </c>
      <c r="AC88" s="249">
        <f t="shared" si="204"/>
        <v>15</v>
      </c>
      <c r="AD88" s="248" t="s">
        <v>292</v>
      </c>
      <c r="AE88" s="249">
        <f t="shared" si="205"/>
        <v>15</v>
      </c>
      <c r="AF88" s="248" t="s">
        <v>289</v>
      </c>
      <c r="AG88" s="249">
        <f t="shared" si="206"/>
        <v>10</v>
      </c>
      <c r="AH88" s="250">
        <f t="shared" si="199"/>
        <v>100</v>
      </c>
      <c r="AI88" s="250" t="str">
        <f t="shared" si="210"/>
        <v>Fuerte</v>
      </c>
      <c r="AJ88" s="251" t="s">
        <v>293</v>
      </c>
      <c r="AK88" s="250" t="str">
        <f t="shared" si="207"/>
        <v>Fuerte</v>
      </c>
      <c r="AL88" s="250" t="str">
        <f t="shared" si="208"/>
        <v>FuerteFuerte</v>
      </c>
      <c r="AM88" s="250" t="str">
        <f>IFERROR(VLOOKUP(AL88,[10]FORMULAS!$B$69:$D$77,3,FALSE),"")</f>
        <v>Fuerte</v>
      </c>
      <c r="AN88" s="250">
        <f t="shared" si="209"/>
        <v>100</v>
      </c>
      <c r="AO88" s="250" t="str">
        <f>IFERROR(VLOOKUP(AL88,[10]FORMULAS!$B$69:$C$77,2,FALSE),"")</f>
        <v>No</v>
      </c>
      <c r="AP88" s="589"/>
      <c r="AQ88" s="589"/>
      <c r="AR88" s="590"/>
      <c r="AS88" s="590"/>
      <c r="AT88" s="589"/>
      <c r="AU88" s="589"/>
      <c r="AV88" s="589"/>
      <c r="AW88" s="482"/>
      <c r="AX88" s="482"/>
      <c r="AY88" s="587"/>
      <c r="AZ88" s="591"/>
      <c r="BA88" s="588"/>
      <c r="BB88" s="233" t="s">
        <v>686</v>
      </c>
      <c r="BC88" s="169" t="s">
        <v>687</v>
      </c>
      <c r="BD88" s="170" t="s">
        <v>635</v>
      </c>
      <c r="BE88" s="159" t="s">
        <v>426</v>
      </c>
      <c r="BF88" s="159" t="s">
        <v>649</v>
      </c>
      <c r="BG88" s="163"/>
      <c r="BH88" s="170"/>
      <c r="BI88" s="170"/>
      <c r="BJ88" s="236"/>
    </row>
    <row r="89" spans="2:62" s="86" customFormat="1" ht="48" x14ac:dyDescent="0.25">
      <c r="B89" s="408"/>
      <c r="C89" s="482"/>
      <c r="D89" s="406"/>
      <c r="E89" s="406"/>
      <c r="F89" s="482"/>
      <c r="G89" s="482"/>
      <c r="H89" s="406"/>
      <c r="I89" s="585"/>
      <c r="J89" s="585"/>
      <c r="K89" s="169" t="s">
        <v>675</v>
      </c>
      <c r="L89" s="169" t="s">
        <v>676</v>
      </c>
      <c r="M89" s="587"/>
      <c r="N89" s="482"/>
      <c r="O89" s="482"/>
      <c r="P89" s="587"/>
      <c r="Q89" s="588"/>
      <c r="R89" s="406" t="s">
        <v>677</v>
      </c>
      <c r="S89" s="406"/>
      <c r="T89" s="248" t="s">
        <v>286</v>
      </c>
      <c r="U89" s="249">
        <f t="shared" si="200"/>
        <v>15</v>
      </c>
      <c r="V89" s="248" t="s">
        <v>287</v>
      </c>
      <c r="W89" s="249">
        <f t="shared" si="201"/>
        <v>15</v>
      </c>
      <c r="X89" s="248" t="s">
        <v>288</v>
      </c>
      <c r="Y89" s="249">
        <f t="shared" si="202"/>
        <v>15</v>
      </c>
      <c r="Z89" s="248" t="s">
        <v>291</v>
      </c>
      <c r="AA89" s="249">
        <f t="shared" si="203"/>
        <v>15</v>
      </c>
      <c r="AB89" s="248" t="s">
        <v>290</v>
      </c>
      <c r="AC89" s="249">
        <f t="shared" si="204"/>
        <v>15</v>
      </c>
      <c r="AD89" s="248" t="s">
        <v>292</v>
      </c>
      <c r="AE89" s="249">
        <f t="shared" si="205"/>
        <v>15</v>
      </c>
      <c r="AF89" s="248" t="s">
        <v>289</v>
      </c>
      <c r="AG89" s="249">
        <f t="shared" si="206"/>
        <v>10</v>
      </c>
      <c r="AH89" s="250">
        <f t="shared" si="199"/>
        <v>100</v>
      </c>
      <c r="AI89" s="250" t="str">
        <f t="shared" si="210"/>
        <v>Fuerte</v>
      </c>
      <c r="AJ89" s="251" t="s">
        <v>293</v>
      </c>
      <c r="AK89" s="250" t="str">
        <f t="shared" si="207"/>
        <v>Fuerte</v>
      </c>
      <c r="AL89" s="250" t="str">
        <f t="shared" si="208"/>
        <v>FuerteFuerte</v>
      </c>
      <c r="AM89" s="250" t="str">
        <f>IFERROR(VLOOKUP(AL89,[10]FORMULAS!$B$69:$D$77,3,FALSE),"")</f>
        <v>Fuerte</v>
      </c>
      <c r="AN89" s="250">
        <f t="shared" si="209"/>
        <v>100</v>
      </c>
      <c r="AO89" s="250" t="str">
        <f>IFERROR(VLOOKUP(AL89,[10]FORMULAS!$B$69:$C$77,2,FALSE),"")</f>
        <v>No</v>
      </c>
      <c r="AP89" s="589"/>
      <c r="AQ89" s="589"/>
      <c r="AR89" s="590"/>
      <c r="AS89" s="590"/>
      <c r="AT89" s="589"/>
      <c r="AU89" s="589"/>
      <c r="AV89" s="589"/>
      <c r="AW89" s="482"/>
      <c r="AX89" s="482"/>
      <c r="AY89" s="587"/>
      <c r="AZ89" s="591"/>
      <c r="BA89" s="588"/>
      <c r="BB89" s="233" t="s">
        <v>688</v>
      </c>
      <c r="BC89" s="169" t="s">
        <v>689</v>
      </c>
      <c r="BD89" s="170" t="s">
        <v>635</v>
      </c>
      <c r="BE89" s="159" t="s">
        <v>426</v>
      </c>
      <c r="BF89" s="159" t="s">
        <v>690</v>
      </c>
      <c r="BG89" s="163"/>
      <c r="BH89" s="170"/>
      <c r="BI89" s="170"/>
      <c r="BJ89" s="236"/>
    </row>
    <row r="90" spans="2:62" s="86" customFormat="1" ht="20.100000000000001" customHeight="1" thickBot="1" x14ac:dyDescent="0.3">
      <c r="B90" s="409"/>
      <c r="C90" s="489"/>
      <c r="D90" s="490"/>
      <c r="E90" s="490"/>
      <c r="F90" s="489"/>
      <c r="G90" s="489"/>
      <c r="H90" s="490"/>
      <c r="I90" s="586"/>
      <c r="J90" s="586"/>
      <c r="K90" s="183"/>
      <c r="L90" s="183" t="s">
        <v>678</v>
      </c>
      <c r="M90" s="505"/>
      <c r="N90" s="489"/>
      <c r="O90" s="489"/>
      <c r="P90" s="505"/>
      <c r="Q90" s="507"/>
      <c r="R90" s="490" t="s">
        <v>677</v>
      </c>
      <c r="S90" s="490"/>
      <c r="T90" s="184"/>
      <c r="U90" s="185">
        <f t="shared" si="200"/>
        <v>0</v>
      </c>
      <c r="V90" s="184"/>
      <c r="W90" s="185">
        <f t="shared" si="201"/>
        <v>0</v>
      </c>
      <c r="X90" s="184"/>
      <c r="Y90" s="185">
        <f t="shared" si="202"/>
        <v>0</v>
      </c>
      <c r="Z90" s="184"/>
      <c r="AA90" s="185">
        <f t="shared" si="203"/>
        <v>0</v>
      </c>
      <c r="AB90" s="184"/>
      <c r="AC90" s="185">
        <f t="shared" si="204"/>
        <v>0</v>
      </c>
      <c r="AD90" s="184"/>
      <c r="AE90" s="185">
        <f t="shared" si="205"/>
        <v>0</v>
      </c>
      <c r="AF90" s="184"/>
      <c r="AG90" s="185">
        <f t="shared" si="206"/>
        <v>0</v>
      </c>
      <c r="AH90" s="188">
        <f t="shared" si="199"/>
        <v>0</v>
      </c>
      <c r="AI90" s="188" t="str">
        <f t="shared" si="210"/>
        <v/>
      </c>
      <c r="AJ90" s="189"/>
      <c r="AK90" s="188" t="str">
        <f t="shared" si="207"/>
        <v/>
      </c>
      <c r="AL90" s="188" t="str">
        <f t="shared" si="208"/>
        <v/>
      </c>
      <c r="AM90" s="188" t="str">
        <f>IFERROR(VLOOKUP(AL90,[10]FORMULAS!$B$69:$D$77,3,FALSE),"")</f>
        <v/>
      </c>
      <c r="AN90" s="188" t="str">
        <f t="shared" si="209"/>
        <v/>
      </c>
      <c r="AO90" s="188" t="str">
        <f>IFERROR(VLOOKUP(AL90,[10]FORMULAS!$B$69:$C$77,2,FALSE),"")</f>
        <v/>
      </c>
      <c r="AP90" s="509"/>
      <c r="AQ90" s="509"/>
      <c r="AR90" s="511"/>
      <c r="AS90" s="511"/>
      <c r="AT90" s="509"/>
      <c r="AU90" s="509"/>
      <c r="AV90" s="509"/>
      <c r="AW90" s="489"/>
      <c r="AX90" s="489"/>
      <c r="AY90" s="505"/>
      <c r="AZ90" s="583"/>
      <c r="BA90" s="507"/>
      <c r="BB90" s="273"/>
      <c r="BC90" s="190"/>
      <c r="BD90" s="190"/>
      <c r="BE90" s="274"/>
      <c r="BF90" s="191"/>
      <c r="BG90" s="272"/>
      <c r="BH90" s="190"/>
      <c r="BI90" s="190"/>
      <c r="BJ90" s="192"/>
    </row>
    <row r="91" spans="2:62" s="86" customFormat="1" ht="60.75" thickBot="1" x14ac:dyDescent="0.3">
      <c r="B91" s="275" t="s">
        <v>77</v>
      </c>
      <c r="C91" s="276">
        <v>23</v>
      </c>
      <c r="D91" s="277" t="s">
        <v>691</v>
      </c>
      <c r="E91" s="277" t="s">
        <v>692</v>
      </c>
      <c r="F91" s="276" t="s">
        <v>89</v>
      </c>
      <c r="G91" s="276" t="s">
        <v>96</v>
      </c>
      <c r="H91" s="277" t="s">
        <v>329</v>
      </c>
      <c r="I91" s="278"/>
      <c r="J91" s="278"/>
      <c r="K91" s="279" t="s">
        <v>693</v>
      </c>
      <c r="L91" s="279" t="s">
        <v>694</v>
      </c>
      <c r="M91" s="280" t="str">
        <f t="shared" ref="M91" si="222">IF(F91="gestion","impacto",IF(F91="corrupcion","impactocorrupcion",IF(F91="seguridad_de_la_informacion","impacto","")))</f>
        <v>impacto</v>
      </c>
      <c r="N91" s="276" t="s">
        <v>18</v>
      </c>
      <c r="O91" s="276" t="s">
        <v>23</v>
      </c>
      <c r="P91" s="280" t="str">
        <f t="shared" ref="P91" si="223">N91&amp;O91</f>
        <v>PosibleModerado</v>
      </c>
      <c r="Q91" s="281" t="str">
        <f>IFERROR(VLOOKUP(P91,[11]FORMULAS!$B$37:$C$61,2,FALSE),"")</f>
        <v>Riesgo alto</v>
      </c>
      <c r="R91" s="592" t="s">
        <v>695</v>
      </c>
      <c r="S91" s="592"/>
      <c r="T91" s="276" t="s">
        <v>286</v>
      </c>
      <c r="U91" s="280">
        <f>IF(T91="Asignado",15,0)</f>
        <v>15</v>
      </c>
      <c r="V91" s="276" t="s">
        <v>287</v>
      </c>
      <c r="W91" s="280">
        <f t="shared" si="201"/>
        <v>15</v>
      </c>
      <c r="X91" s="276" t="s">
        <v>288</v>
      </c>
      <c r="Y91" s="280">
        <f t="shared" si="202"/>
        <v>15</v>
      </c>
      <c r="Z91" s="276" t="s">
        <v>291</v>
      </c>
      <c r="AA91" s="280">
        <f t="shared" si="203"/>
        <v>15</v>
      </c>
      <c r="AB91" s="276" t="s">
        <v>290</v>
      </c>
      <c r="AC91" s="280">
        <f>IF(AB91="Confiable",15,0)</f>
        <v>15</v>
      </c>
      <c r="AD91" s="276" t="s">
        <v>292</v>
      </c>
      <c r="AE91" s="280">
        <f t="shared" si="205"/>
        <v>15</v>
      </c>
      <c r="AF91" s="276" t="s">
        <v>289</v>
      </c>
      <c r="AG91" s="280">
        <f>IF(AF91="Completa",10,IF(AF91="incompleta",5,0))</f>
        <v>10</v>
      </c>
      <c r="AH91" s="282">
        <f>U91+W91+Y91+AA91+AC91+AE91+AG91</f>
        <v>100</v>
      </c>
      <c r="AI91" s="282" t="str">
        <f>IF(AH91&gt;=96,"Fuerte",IF(AH91&gt;=86,"Moderado",IF(AH91&gt;=1,"Débil","")))</f>
        <v>Fuerte</v>
      </c>
      <c r="AJ91" s="283" t="s">
        <v>293</v>
      </c>
      <c r="AK91" s="282" t="s">
        <v>152</v>
      </c>
      <c r="AL91" s="282" t="s">
        <v>696</v>
      </c>
      <c r="AM91" s="282" t="s">
        <v>152</v>
      </c>
      <c r="AN91" s="282">
        <f>IF(AM91="fuerte",100,IF(AM91="Moderado",50,IF(AM91="débil",0,"")))</f>
        <v>100</v>
      </c>
      <c r="AO91" s="282" t="str">
        <f>IFERROR(VLOOKUP(AL91,[11]FORMULAS!$B$69:$D$77,2,FALSE),"")</f>
        <v>No</v>
      </c>
      <c r="AP91" s="282">
        <f>IFERROR(AVERAGE(AN91:AN91),0)</f>
        <v>100</v>
      </c>
      <c r="AQ91" s="282" t="str">
        <f t="shared" ref="AQ91" si="224">IF(AP91&gt;=100,"Fuerte",IF(AP91&gt;=50,"Moderado",IF(AP91&gt;=1,"Débil","")))</f>
        <v>Fuerte</v>
      </c>
      <c r="AR91" s="283" t="s">
        <v>160</v>
      </c>
      <c r="AS91" s="283" t="s">
        <v>162</v>
      </c>
      <c r="AT91" s="282" t="str">
        <f t="shared" ref="AT91" si="225">+AQ91&amp;AR91&amp;AS91</f>
        <v>FuerteDirectamenteIndirectamente</v>
      </c>
      <c r="AU91" s="282">
        <f>IFERROR(VLOOKUP(AT91,[11]FORMULAS!$B$94:$D$101,2,FALSE),0)</f>
        <v>2</v>
      </c>
      <c r="AV91" s="282">
        <f>IFERROR(VLOOKUP(AT91,[11]FORMULAS!$B$94:$D$101,3,FALSE),0)</f>
        <v>1</v>
      </c>
      <c r="AW91" s="276" t="s">
        <v>134</v>
      </c>
      <c r="AX91" s="276" t="s">
        <v>22</v>
      </c>
      <c r="AY91" s="280" t="str">
        <f t="shared" ref="AY91" si="226">AW91&amp;AX91</f>
        <v>Rara vezMenor</v>
      </c>
      <c r="AZ91" s="284" t="str">
        <f>IFERROR(VLOOKUP(AY91,[11]FORMULAS!$B$37:$C$61,2,FALSE),"")</f>
        <v>Riesgo bajo</v>
      </c>
      <c r="BA91" s="281" t="s">
        <v>167</v>
      </c>
      <c r="BB91" s="285" t="s">
        <v>697</v>
      </c>
      <c r="BC91" s="286"/>
      <c r="BD91" s="286" t="s">
        <v>698</v>
      </c>
      <c r="BE91" s="287" t="s">
        <v>426</v>
      </c>
      <c r="BF91" s="287" t="s">
        <v>699</v>
      </c>
      <c r="BG91" s="288" t="s">
        <v>700</v>
      </c>
      <c r="BH91" s="286" t="s">
        <v>701</v>
      </c>
      <c r="BI91" s="286" t="s">
        <v>504</v>
      </c>
      <c r="BJ91" s="289" t="s">
        <v>702</v>
      </c>
    </row>
    <row r="92" spans="2:62" s="86" customFormat="1" ht="144" x14ac:dyDescent="0.25">
      <c r="B92" s="376" t="s">
        <v>78</v>
      </c>
      <c r="C92" s="361">
        <v>24</v>
      </c>
      <c r="D92" s="373" t="s">
        <v>703</v>
      </c>
      <c r="E92" s="373" t="s">
        <v>704</v>
      </c>
      <c r="F92" s="361" t="s">
        <v>348</v>
      </c>
      <c r="G92" s="361" t="s">
        <v>94</v>
      </c>
      <c r="H92" s="373" t="s">
        <v>532</v>
      </c>
      <c r="I92" s="379" t="s">
        <v>128</v>
      </c>
      <c r="J92" s="379"/>
      <c r="K92" s="109" t="s">
        <v>705</v>
      </c>
      <c r="L92" s="352" t="s">
        <v>706</v>
      </c>
      <c r="M92" s="364" t="str">
        <f>IF(F92="gestion","impacto",IF(F92="corrupcion","impactocorrupcion",IF(F92="seguridad_de_la_informacion","impacto","")))</f>
        <v/>
      </c>
      <c r="N92" s="361" t="s">
        <v>19</v>
      </c>
      <c r="O92" s="361" t="s">
        <v>23</v>
      </c>
      <c r="P92" s="364" t="str">
        <f>N92&amp;O92</f>
        <v>ProbableModerado</v>
      </c>
      <c r="Q92" s="370" t="str">
        <f>IFERROR(VLOOKUP(P92,[12]FORMULAS!$B$37:$C$61,2,FALSE),"")</f>
        <v>Riesgo alto</v>
      </c>
      <c r="R92" s="373" t="s">
        <v>707</v>
      </c>
      <c r="S92" s="373"/>
      <c r="T92" s="112" t="s">
        <v>286</v>
      </c>
      <c r="U92" s="113">
        <f>IF(T92="Asignado",15,0)</f>
        <v>15</v>
      </c>
      <c r="V92" s="112" t="s">
        <v>287</v>
      </c>
      <c r="W92" s="113">
        <f>IF(V92="Adecuado",15,0)</f>
        <v>15</v>
      </c>
      <c r="X92" s="112" t="s">
        <v>288</v>
      </c>
      <c r="Y92" s="113">
        <f>IF(X92="Oportuna",15,0)</f>
        <v>15</v>
      </c>
      <c r="Z92" s="112" t="s">
        <v>291</v>
      </c>
      <c r="AA92" s="113">
        <f>IF(Z92="Prevenir",15,IF(Z92="Detectar",10,0))</f>
        <v>15</v>
      </c>
      <c r="AB92" s="112" t="s">
        <v>290</v>
      </c>
      <c r="AC92" s="113">
        <f>IF(AB92="Confiable",15,0)</f>
        <v>15</v>
      </c>
      <c r="AD92" s="112" t="s">
        <v>292</v>
      </c>
      <c r="AE92" s="113">
        <f>IF(AD92="Se investigan y resuelven oportunamente",15,0)</f>
        <v>15</v>
      </c>
      <c r="AF92" s="112" t="s">
        <v>289</v>
      </c>
      <c r="AG92" s="113">
        <f>IF(AF92="Completa",10,IF(AF92="incompleta",5,0))</f>
        <v>10</v>
      </c>
      <c r="AH92" s="116">
        <f t="shared" ref="AH92:AH110" si="227">U92+W92+Y92+AA92+AC92+AE92+AG92</f>
        <v>100</v>
      </c>
      <c r="AI92" s="116" t="str">
        <f>IF(AH92&gt;=96,"Fuerte",IF(AH92&gt;=86,"Moderado",IF(AH92&gt;=1,"Débil","")))</f>
        <v>Fuerte</v>
      </c>
      <c r="AJ92" s="117" t="s">
        <v>293</v>
      </c>
      <c r="AK92" s="116" t="str">
        <f>IF(AJ92="Siempre se ejecuta","Fuerte",IF(AJ92="Algunas veces","Moderado",IF(AJ92="no se ejecuta","Débil","")))</f>
        <v>Fuerte</v>
      </c>
      <c r="AL92" s="116" t="str">
        <f>AI92&amp;AK92</f>
        <v>FuerteFuerte</v>
      </c>
      <c r="AM92" s="116" t="str">
        <f>IFERROR(VLOOKUP(AL92,[12]FORMULAS!$B$69:$D$77,3,FALSE),"")</f>
        <v>Fuerte</v>
      </c>
      <c r="AN92" s="116">
        <f>IF(AM92="fuerte",100,IF(AM92="Moderado",50,IF(AM92="débil",0,"")))</f>
        <v>100</v>
      </c>
      <c r="AO92" s="116" t="str">
        <f>IFERROR(VLOOKUP(AL92,[12]FORMULAS!$B$69:$D$77,2,FALSE),"")</f>
        <v>No</v>
      </c>
      <c r="AP92" s="358">
        <f>IFERROR(AVERAGE(AN92:AN95),0)</f>
        <v>100</v>
      </c>
      <c r="AQ92" s="358" t="str">
        <f>IF(AP92&gt;=100,"Fuerte",IF(AP92&gt;=50,"Moderado",IF(AP92&gt;=1,"Débil","")))</f>
        <v>Fuerte</v>
      </c>
      <c r="AR92" s="355" t="s">
        <v>160</v>
      </c>
      <c r="AS92" s="355" t="s">
        <v>162</v>
      </c>
      <c r="AT92" s="358" t="str">
        <f>+AQ92&amp;AR92&amp;AS92</f>
        <v>FuerteDirectamenteIndirectamente</v>
      </c>
      <c r="AU92" s="358">
        <f>IFERROR(VLOOKUP(AT92,[12]FORMULAS!$B$94:$D$101,2,FALSE),0)</f>
        <v>2</v>
      </c>
      <c r="AV92" s="358">
        <f>IFERROR(VLOOKUP(AT92,[12]FORMULAS!$B$94:$D$101,3,FALSE),0)</f>
        <v>1</v>
      </c>
      <c r="AW92" s="361" t="s">
        <v>134</v>
      </c>
      <c r="AX92" s="361" t="s">
        <v>22</v>
      </c>
      <c r="AY92" s="364" t="str">
        <f>AW92&amp;AX92</f>
        <v>Rara vezMenor</v>
      </c>
      <c r="AZ92" s="367" t="str">
        <f>IFERROR(VLOOKUP(AY92,[12]FORMULAS!$B$37:$C$61,2,FALSE),"")</f>
        <v>Riesgo bajo</v>
      </c>
      <c r="BA92" s="370" t="s">
        <v>169</v>
      </c>
      <c r="BB92" s="153" t="s">
        <v>712</v>
      </c>
      <c r="BC92" s="119" t="s">
        <v>713</v>
      </c>
      <c r="BD92" s="153" t="s">
        <v>714</v>
      </c>
      <c r="BE92" s="160" t="s">
        <v>715</v>
      </c>
      <c r="BF92" s="160" t="s">
        <v>716</v>
      </c>
      <c r="BG92" s="119" t="s">
        <v>717</v>
      </c>
      <c r="BH92" s="119" t="s">
        <v>718</v>
      </c>
      <c r="BI92" s="119" t="s">
        <v>714</v>
      </c>
      <c r="BJ92" s="154" t="s">
        <v>453</v>
      </c>
    </row>
    <row r="93" spans="2:62" s="86" customFormat="1" ht="84" x14ac:dyDescent="0.25">
      <c r="B93" s="377"/>
      <c r="C93" s="362"/>
      <c r="D93" s="374"/>
      <c r="E93" s="374"/>
      <c r="F93" s="362"/>
      <c r="G93" s="362"/>
      <c r="H93" s="374"/>
      <c r="I93" s="380"/>
      <c r="J93" s="380"/>
      <c r="K93" s="121" t="s">
        <v>708</v>
      </c>
      <c r="L93" s="353"/>
      <c r="M93" s="365"/>
      <c r="N93" s="362"/>
      <c r="O93" s="362"/>
      <c r="P93" s="365"/>
      <c r="Q93" s="371"/>
      <c r="R93" s="374" t="s">
        <v>709</v>
      </c>
      <c r="S93" s="374"/>
      <c r="T93" s="102" t="s">
        <v>286</v>
      </c>
      <c r="U93" s="106">
        <f t="shared" ref="U93:U95" si="228">IF(T93="Asignado",15,0)</f>
        <v>15</v>
      </c>
      <c r="V93" s="102" t="s">
        <v>287</v>
      </c>
      <c r="W93" s="106">
        <f t="shared" ref="W93:W95" si="229">IF(V93="Adecuado",15,0)</f>
        <v>15</v>
      </c>
      <c r="X93" s="102" t="s">
        <v>288</v>
      </c>
      <c r="Y93" s="106">
        <f t="shared" ref="Y93:Y95" si="230">IF(X93="Oportuna",15,0)</f>
        <v>15</v>
      </c>
      <c r="Z93" s="102" t="s">
        <v>291</v>
      </c>
      <c r="AA93" s="106">
        <f t="shared" ref="AA93:AA95" si="231">IF(Z93="Prevenir",15,IF(Z93="Detectar",10,0))</f>
        <v>15</v>
      </c>
      <c r="AB93" s="102" t="s">
        <v>290</v>
      </c>
      <c r="AC93" s="106">
        <f t="shared" ref="AC93:AC95" si="232">IF(AB93="Confiable",15,0)</f>
        <v>15</v>
      </c>
      <c r="AD93" s="102" t="s">
        <v>292</v>
      </c>
      <c r="AE93" s="106">
        <f t="shared" ref="AE93:AE95" si="233">IF(AD93="Se investigan y resuelven oportunamente",15,0)</f>
        <v>15</v>
      </c>
      <c r="AF93" s="102" t="s">
        <v>289</v>
      </c>
      <c r="AG93" s="106">
        <f t="shared" ref="AG93:AG95" si="234">IF(AF93="Completa",10,IF(AF93="incompleta",5,0))</f>
        <v>10</v>
      </c>
      <c r="AH93" s="105">
        <f t="shared" si="227"/>
        <v>100</v>
      </c>
      <c r="AI93" s="105" t="str">
        <f>IF(AH93&gt;=96,"Fuerte",IF(AH93&gt;=86,"Moderado",IF(AH93&gt;=1,"Débil","")))</f>
        <v>Fuerte</v>
      </c>
      <c r="AJ93" s="107" t="s">
        <v>293</v>
      </c>
      <c r="AK93" s="105" t="str">
        <f t="shared" ref="AK93:AK95" si="235">IF(AJ93="Siempre se ejecuta","Fuerte",IF(AJ93="Algunas veces","Moderado",IF(AJ93="no se ejecuta","Débil","")))</f>
        <v>Fuerte</v>
      </c>
      <c r="AL93" s="105" t="str">
        <f t="shared" ref="AL93:AL95" si="236">AI93&amp;AK93</f>
        <v>FuerteFuerte</v>
      </c>
      <c r="AM93" s="105" t="str">
        <f>IFERROR(VLOOKUP(AL93,[12]FORMULAS!$B$69:$D$77,3,FALSE),"")</f>
        <v>Fuerte</v>
      </c>
      <c r="AN93" s="105">
        <f t="shared" ref="AN93:AN95" si="237">IF(AM93="fuerte",100,IF(AM93="Moderado",50,IF(AM93="débil",0,"")))</f>
        <v>100</v>
      </c>
      <c r="AO93" s="105" t="str">
        <f>IFERROR(VLOOKUP(AL93,[12]FORMULAS!$B$69:$C$77,2,FALSE),"")</f>
        <v>No</v>
      </c>
      <c r="AP93" s="359"/>
      <c r="AQ93" s="359"/>
      <c r="AR93" s="356"/>
      <c r="AS93" s="356"/>
      <c r="AT93" s="359"/>
      <c r="AU93" s="359"/>
      <c r="AV93" s="359"/>
      <c r="AW93" s="362"/>
      <c r="AX93" s="362"/>
      <c r="AY93" s="365"/>
      <c r="AZ93" s="368"/>
      <c r="BA93" s="371"/>
      <c r="BB93" s="152" t="s">
        <v>719</v>
      </c>
      <c r="BC93" s="84" t="s">
        <v>720</v>
      </c>
      <c r="BD93" s="152" t="s">
        <v>714</v>
      </c>
      <c r="BE93" s="83" t="s">
        <v>715</v>
      </c>
      <c r="BF93" s="83" t="s">
        <v>716</v>
      </c>
      <c r="BG93" s="84" t="s">
        <v>721</v>
      </c>
      <c r="BH93" s="84" t="s">
        <v>722</v>
      </c>
      <c r="BI93" s="84" t="s">
        <v>714</v>
      </c>
      <c r="BJ93" s="155" t="s">
        <v>453</v>
      </c>
    </row>
    <row r="94" spans="2:62" s="86" customFormat="1" ht="24" x14ac:dyDescent="0.25">
      <c r="B94" s="377"/>
      <c r="C94" s="362"/>
      <c r="D94" s="374"/>
      <c r="E94" s="374"/>
      <c r="F94" s="362"/>
      <c r="G94" s="362"/>
      <c r="H94" s="374"/>
      <c r="I94" s="380"/>
      <c r="J94" s="380"/>
      <c r="K94" s="121" t="s">
        <v>710</v>
      </c>
      <c r="L94" s="353"/>
      <c r="M94" s="365"/>
      <c r="N94" s="362"/>
      <c r="O94" s="362"/>
      <c r="P94" s="365"/>
      <c r="Q94" s="371"/>
      <c r="R94" s="374" t="s">
        <v>711</v>
      </c>
      <c r="S94" s="374"/>
      <c r="T94" s="102" t="s">
        <v>286</v>
      </c>
      <c r="U94" s="106">
        <f t="shared" si="228"/>
        <v>15</v>
      </c>
      <c r="V94" s="102" t="s">
        <v>287</v>
      </c>
      <c r="W94" s="106">
        <f t="shared" si="229"/>
        <v>15</v>
      </c>
      <c r="X94" s="102" t="s">
        <v>288</v>
      </c>
      <c r="Y94" s="106">
        <f t="shared" si="230"/>
        <v>15</v>
      </c>
      <c r="Z94" s="102" t="s">
        <v>291</v>
      </c>
      <c r="AA94" s="106">
        <f t="shared" si="231"/>
        <v>15</v>
      </c>
      <c r="AB94" s="102" t="s">
        <v>290</v>
      </c>
      <c r="AC94" s="106">
        <f t="shared" si="232"/>
        <v>15</v>
      </c>
      <c r="AD94" s="102" t="s">
        <v>292</v>
      </c>
      <c r="AE94" s="106">
        <f t="shared" si="233"/>
        <v>15</v>
      </c>
      <c r="AF94" s="102" t="s">
        <v>289</v>
      </c>
      <c r="AG94" s="106">
        <f t="shared" si="234"/>
        <v>10</v>
      </c>
      <c r="AH94" s="105">
        <f t="shared" si="227"/>
        <v>100</v>
      </c>
      <c r="AI94" s="105" t="str">
        <f t="shared" ref="AI94:AI95" si="238">IF(AH94&gt;=96,"Fuerte",IF(AH94&gt;=86,"Moderado",IF(AH94&gt;=1,"Débil","")))</f>
        <v>Fuerte</v>
      </c>
      <c r="AJ94" s="107" t="s">
        <v>293</v>
      </c>
      <c r="AK94" s="105" t="str">
        <f t="shared" si="235"/>
        <v>Fuerte</v>
      </c>
      <c r="AL94" s="105" t="str">
        <f t="shared" si="236"/>
        <v>FuerteFuerte</v>
      </c>
      <c r="AM94" s="105" t="str">
        <f>IFERROR(VLOOKUP(AL94,[12]FORMULAS!$B$69:$D$77,3,FALSE),"")</f>
        <v>Fuerte</v>
      </c>
      <c r="AN94" s="105">
        <f t="shared" si="237"/>
        <v>100</v>
      </c>
      <c r="AO94" s="105" t="str">
        <f>IFERROR(VLOOKUP(AL94,[12]FORMULAS!$B$69:$C$77,2,FALSE),"")</f>
        <v>No</v>
      </c>
      <c r="AP94" s="359"/>
      <c r="AQ94" s="359"/>
      <c r="AR94" s="356"/>
      <c r="AS94" s="356"/>
      <c r="AT94" s="359"/>
      <c r="AU94" s="359"/>
      <c r="AV94" s="359"/>
      <c r="AW94" s="362"/>
      <c r="AX94" s="362"/>
      <c r="AY94" s="365"/>
      <c r="AZ94" s="368"/>
      <c r="BA94" s="371"/>
      <c r="BB94" s="152"/>
      <c r="BC94" s="82"/>
      <c r="BD94" s="82"/>
      <c r="BE94" s="83"/>
      <c r="BF94" s="85"/>
      <c r="BG94" s="84"/>
      <c r="BH94" s="82"/>
      <c r="BI94" s="82"/>
      <c r="BJ94" s="155"/>
    </row>
    <row r="95" spans="2:62" s="86" customFormat="1" ht="20.100000000000001" customHeight="1" thickBot="1" x14ac:dyDescent="0.3">
      <c r="B95" s="378"/>
      <c r="C95" s="363"/>
      <c r="D95" s="375"/>
      <c r="E95" s="375"/>
      <c r="F95" s="363"/>
      <c r="G95" s="363"/>
      <c r="H95" s="375"/>
      <c r="I95" s="381"/>
      <c r="J95" s="381"/>
      <c r="K95" s="137"/>
      <c r="L95" s="354"/>
      <c r="M95" s="366"/>
      <c r="N95" s="363"/>
      <c r="O95" s="363"/>
      <c r="P95" s="366"/>
      <c r="Q95" s="372"/>
      <c r="R95" s="375"/>
      <c r="S95" s="375"/>
      <c r="T95" s="125"/>
      <c r="U95" s="126">
        <f t="shared" si="228"/>
        <v>0</v>
      </c>
      <c r="V95" s="125"/>
      <c r="W95" s="126">
        <f t="shared" si="229"/>
        <v>0</v>
      </c>
      <c r="X95" s="125"/>
      <c r="Y95" s="126">
        <f t="shared" si="230"/>
        <v>0</v>
      </c>
      <c r="Z95" s="125"/>
      <c r="AA95" s="126">
        <f t="shared" si="231"/>
        <v>0</v>
      </c>
      <c r="AB95" s="125"/>
      <c r="AC95" s="126">
        <f t="shared" si="232"/>
        <v>0</v>
      </c>
      <c r="AD95" s="125"/>
      <c r="AE95" s="126">
        <f t="shared" si="233"/>
        <v>0</v>
      </c>
      <c r="AF95" s="125"/>
      <c r="AG95" s="126">
        <f t="shared" si="234"/>
        <v>0</v>
      </c>
      <c r="AH95" s="129">
        <f t="shared" si="227"/>
        <v>0</v>
      </c>
      <c r="AI95" s="129" t="str">
        <f t="shared" si="238"/>
        <v/>
      </c>
      <c r="AJ95" s="130"/>
      <c r="AK95" s="129" t="str">
        <f t="shared" si="235"/>
        <v/>
      </c>
      <c r="AL95" s="129" t="str">
        <f t="shared" si="236"/>
        <v/>
      </c>
      <c r="AM95" s="129" t="str">
        <f>IFERROR(VLOOKUP(AL95,[12]FORMULAS!$B$69:$D$77,3,FALSE),"")</f>
        <v/>
      </c>
      <c r="AN95" s="129" t="str">
        <f t="shared" si="237"/>
        <v/>
      </c>
      <c r="AO95" s="129" t="str">
        <f>IFERROR(VLOOKUP(AL95,[12]FORMULAS!$B$69:$C$77,2,FALSE),"")</f>
        <v/>
      </c>
      <c r="AP95" s="360"/>
      <c r="AQ95" s="360"/>
      <c r="AR95" s="357"/>
      <c r="AS95" s="357"/>
      <c r="AT95" s="360"/>
      <c r="AU95" s="360"/>
      <c r="AV95" s="360"/>
      <c r="AW95" s="363"/>
      <c r="AX95" s="363"/>
      <c r="AY95" s="366"/>
      <c r="AZ95" s="369"/>
      <c r="BA95" s="372"/>
      <c r="BB95" s="131"/>
      <c r="BC95" s="132"/>
      <c r="BD95" s="132"/>
      <c r="BE95" s="161"/>
      <c r="BF95" s="290"/>
      <c r="BG95" s="139"/>
      <c r="BH95" s="132"/>
      <c r="BI95" s="132"/>
      <c r="BJ95" s="156"/>
    </row>
    <row r="96" spans="2:62" s="86" customFormat="1" ht="84" x14ac:dyDescent="0.25">
      <c r="B96" s="376" t="s">
        <v>78</v>
      </c>
      <c r="C96" s="361">
        <v>25</v>
      </c>
      <c r="D96" s="373" t="s">
        <v>723</v>
      </c>
      <c r="E96" s="373" t="s">
        <v>724</v>
      </c>
      <c r="F96" s="361" t="s">
        <v>348</v>
      </c>
      <c r="G96" s="361" t="s">
        <v>94</v>
      </c>
      <c r="H96" s="373" t="s">
        <v>532</v>
      </c>
      <c r="I96" s="379" t="s">
        <v>128</v>
      </c>
      <c r="J96" s="379"/>
      <c r="K96" s="109" t="s">
        <v>725</v>
      </c>
      <c r="L96" s="352" t="s">
        <v>726</v>
      </c>
      <c r="M96" s="364" t="str">
        <f>IF(F96="gestion","impacto",IF(F96="corrupcion","impactocorrupcion",IF(F96="seguridad_de_la_informacion","impacto","")))</f>
        <v/>
      </c>
      <c r="N96" s="361" t="s">
        <v>18</v>
      </c>
      <c r="O96" s="361" t="s">
        <v>23</v>
      </c>
      <c r="P96" s="364" t="str">
        <f>N96&amp;O96</f>
        <v>PosibleModerado</v>
      </c>
      <c r="Q96" s="370" t="str">
        <f>IFERROR(VLOOKUP(P96,[12]FORMULAS!$B$37:$C$61,2,FALSE),"")</f>
        <v>Riesgo alto</v>
      </c>
      <c r="R96" s="405" t="s">
        <v>727</v>
      </c>
      <c r="S96" s="405"/>
      <c r="T96" s="112" t="s">
        <v>286</v>
      </c>
      <c r="U96" s="113">
        <f>IF(T96="Asignado",15,0)</f>
        <v>15</v>
      </c>
      <c r="V96" s="112" t="s">
        <v>287</v>
      </c>
      <c r="W96" s="113">
        <f>IF(V96="Adecuado",15,0)</f>
        <v>15</v>
      </c>
      <c r="X96" s="112" t="s">
        <v>288</v>
      </c>
      <c r="Y96" s="113">
        <f>IF(X96="Oportuna",15,0)</f>
        <v>15</v>
      </c>
      <c r="Z96" s="112" t="s">
        <v>291</v>
      </c>
      <c r="AA96" s="113">
        <f>IF(Z96="Prevenir",15,IF(Z96="Detectar",10,0))</f>
        <v>15</v>
      </c>
      <c r="AB96" s="112" t="s">
        <v>290</v>
      </c>
      <c r="AC96" s="113">
        <f>IF(AB96="Confiable",15,0)</f>
        <v>15</v>
      </c>
      <c r="AD96" s="112" t="s">
        <v>292</v>
      </c>
      <c r="AE96" s="113">
        <f>IF(AD96="Se investigan y resuelven oportunamente",15,0)</f>
        <v>15</v>
      </c>
      <c r="AF96" s="112" t="s">
        <v>289</v>
      </c>
      <c r="AG96" s="113">
        <f>IF(AF96="Completa",10,IF(AF96="incompleta",5,0))</f>
        <v>10</v>
      </c>
      <c r="AH96" s="116">
        <f t="shared" si="227"/>
        <v>100</v>
      </c>
      <c r="AI96" s="116" t="str">
        <f>IF(AH96&gt;=96,"Fuerte",IF(AH96&gt;=86,"Moderado",IF(AH96&gt;=1,"Débil","")))</f>
        <v>Fuerte</v>
      </c>
      <c r="AJ96" s="117" t="s">
        <v>293</v>
      </c>
      <c r="AK96" s="116" t="str">
        <f>IF(AJ96="Siempre se ejecuta","Fuerte",IF(AJ96="Algunas veces","Moderado",IF(AJ96="no se ejecuta","Débil","")))</f>
        <v>Fuerte</v>
      </c>
      <c r="AL96" s="116" t="str">
        <f>AI96&amp;AK96</f>
        <v>FuerteFuerte</v>
      </c>
      <c r="AM96" s="116" t="str">
        <f>IFERROR(VLOOKUP(AL96,[12]FORMULAS!$B$69:$D$77,3,FALSE),"")</f>
        <v>Fuerte</v>
      </c>
      <c r="AN96" s="116">
        <f>IF(AM96="fuerte",100,IF(AM96="Moderado",50,IF(AM96="débil",0,"")))</f>
        <v>100</v>
      </c>
      <c r="AO96" s="116" t="str">
        <f>IFERROR(VLOOKUP(AL96,[12]FORMULAS!$B$69:$D$77,2,FALSE),"")</f>
        <v>No</v>
      </c>
      <c r="AP96" s="358">
        <f>IFERROR(AVERAGE(AN96:AN99),0)</f>
        <v>83.333333333333329</v>
      </c>
      <c r="AQ96" s="358" t="str">
        <f>IF(AP96&gt;=100,"Fuerte",IF(AP96&gt;=50,"Moderado",IF(AP96&gt;=1,"Débil","")))</f>
        <v>Moderado</v>
      </c>
      <c r="AR96" s="355" t="s">
        <v>160</v>
      </c>
      <c r="AS96" s="355" t="s">
        <v>160</v>
      </c>
      <c r="AT96" s="358" t="str">
        <f>+AQ96&amp;AR96&amp;AS96</f>
        <v>ModeradoDirectamenteDirectamente</v>
      </c>
      <c r="AU96" s="358">
        <f>IFERROR(VLOOKUP(AT96,[12]FORMULAS!$B$94:$D$101,2,FALSE),0)</f>
        <v>1</v>
      </c>
      <c r="AV96" s="358">
        <f>IFERROR(VLOOKUP(AT96,[12]FORMULAS!$B$94:$D$101,3,FALSE),0)</f>
        <v>1</v>
      </c>
      <c r="AW96" s="361" t="s">
        <v>19</v>
      </c>
      <c r="AX96" s="361" t="s">
        <v>22</v>
      </c>
      <c r="AY96" s="364" t="str">
        <f>AW96&amp;AX96</f>
        <v>ProbableMenor</v>
      </c>
      <c r="AZ96" s="367" t="str">
        <f>IFERROR(VLOOKUP(AY96,[12]FORMULAS!$B$37:$C$61,2,FALSE),"")</f>
        <v>Riesgo alto</v>
      </c>
      <c r="BA96" s="370" t="s">
        <v>166</v>
      </c>
      <c r="BB96" s="153" t="s">
        <v>732</v>
      </c>
      <c r="BC96" s="119" t="s">
        <v>733</v>
      </c>
      <c r="BD96" s="153" t="s">
        <v>714</v>
      </c>
      <c r="BE96" s="291" t="s">
        <v>715</v>
      </c>
      <c r="BF96" s="470" t="s">
        <v>734</v>
      </c>
      <c r="BG96" s="292" t="s">
        <v>735</v>
      </c>
      <c r="BH96" s="119" t="s">
        <v>736</v>
      </c>
      <c r="BI96" s="119" t="s">
        <v>714</v>
      </c>
      <c r="BJ96" s="154" t="s">
        <v>453</v>
      </c>
    </row>
    <row r="97" spans="2:62" s="86" customFormat="1" ht="120" x14ac:dyDescent="0.25">
      <c r="B97" s="377"/>
      <c r="C97" s="362"/>
      <c r="D97" s="374"/>
      <c r="E97" s="374"/>
      <c r="F97" s="362"/>
      <c r="G97" s="362"/>
      <c r="H97" s="374"/>
      <c r="I97" s="380"/>
      <c r="J97" s="380"/>
      <c r="K97" s="121" t="s">
        <v>728</v>
      </c>
      <c r="L97" s="353"/>
      <c r="M97" s="365"/>
      <c r="N97" s="362"/>
      <c r="O97" s="362"/>
      <c r="P97" s="365"/>
      <c r="Q97" s="371"/>
      <c r="R97" s="374" t="s">
        <v>729</v>
      </c>
      <c r="S97" s="374"/>
      <c r="T97" s="102" t="s">
        <v>286</v>
      </c>
      <c r="U97" s="106">
        <f t="shared" ref="U97:U99" si="239">IF(T97="Asignado",15,0)</f>
        <v>15</v>
      </c>
      <c r="V97" s="102" t="s">
        <v>287</v>
      </c>
      <c r="W97" s="106">
        <f t="shared" ref="W97:W99" si="240">IF(V97="Adecuado",15,0)</f>
        <v>15</v>
      </c>
      <c r="X97" s="102" t="s">
        <v>288</v>
      </c>
      <c r="Y97" s="106">
        <f t="shared" ref="Y97:Y99" si="241">IF(X97="Oportuna",15,0)</f>
        <v>15</v>
      </c>
      <c r="Z97" s="102" t="s">
        <v>291</v>
      </c>
      <c r="AA97" s="106">
        <f t="shared" ref="AA97:AA99" si="242">IF(Z97="Prevenir",15,IF(Z97="Detectar",10,0))</f>
        <v>15</v>
      </c>
      <c r="AB97" s="102" t="s">
        <v>290</v>
      </c>
      <c r="AC97" s="106">
        <f t="shared" ref="AC97:AC99" si="243">IF(AB97="Confiable",15,0)</f>
        <v>15</v>
      </c>
      <c r="AD97" s="102" t="s">
        <v>292</v>
      </c>
      <c r="AE97" s="106">
        <f t="shared" ref="AE97:AE99" si="244">IF(AD97="Se investigan y resuelven oportunamente",15,0)</f>
        <v>15</v>
      </c>
      <c r="AF97" s="102" t="s">
        <v>289</v>
      </c>
      <c r="AG97" s="106">
        <f t="shared" ref="AG97:AG99" si="245">IF(AF97="Completa",10,IF(AF97="incompleta",5,0))</f>
        <v>10</v>
      </c>
      <c r="AH97" s="105">
        <f t="shared" si="227"/>
        <v>100</v>
      </c>
      <c r="AI97" s="105" t="str">
        <f>IF(AH97&gt;=96,"Fuerte",IF(AH97&gt;=86,"Moderado",IF(AH97&gt;=1,"Débil","")))</f>
        <v>Fuerte</v>
      </c>
      <c r="AJ97" s="107" t="s">
        <v>293</v>
      </c>
      <c r="AK97" s="105" t="str">
        <f t="shared" ref="AK97:AK99" si="246">IF(AJ97="Siempre se ejecuta","Fuerte",IF(AJ97="Algunas veces","Moderado",IF(AJ97="no se ejecuta","Débil","")))</f>
        <v>Fuerte</v>
      </c>
      <c r="AL97" s="105" t="str">
        <f t="shared" ref="AL97:AL99" si="247">AI97&amp;AK97</f>
        <v>FuerteFuerte</v>
      </c>
      <c r="AM97" s="105" t="str">
        <f>IFERROR(VLOOKUP(AL97,[12]FORMULAS!$B$69:$D$77,3,FALSE),"")</f>
        <v>Fuerte</v>
      </c>
      <c r="AN97" s="105">
        <f t="shared" ref="AN97:AN99" si="248">IF(AM97="fuerte",100,IF(AM97="Moderado",50,IF(AM97="débil",0,"")))</f>
        <v>100</v>
      </c>
      <c r="AO97" s="105" t="str">
        <f>IFERROR(VLOOKUP(AL97,[12]FORMULAS!$B$69:$C$77,2,FALSE),"")</f>
        <v>No</v>
      </c>
      <c r="AP97" s="359"/>
      <c r="AQ97" s="359"/>
      <c r="AR97" s="356"/>
      <c r="AS97" s="356"/>
      <c r="AT97" s="359"/>
      <c r="AU97" s="359"/>
      <c r="AV97" s="359"/>
      <c r="AW97" s="362"/>
      <c r="AX97" s="362"/>
      <c r="AY97" s="365"/>
      <c r="AZ97" s="368"/>
      <c r="BA97" s="371"/>
      <c r="BB97" s="152" t="s">
        <v>737</v>
      </c>
      <c r="BC97" s="84" t="s">
        <v>733</v>
      </c>
      <c r="BD97" s="152" t="s">
        <v>714</v>
      </c>
      <c r="BE97" s="253" t="s">
        <v>715</v>
      </c>
      <c r="BF97" s="471"/>
      <c r="BG97" s="85" t="s">
        <v>738</v>
      </c>
      <c r="BH97" s="84" t="s">
        <v>739</v>
      </c>
      <c r="BI97" s="84" t="s">
        <v>714</v>
      </c>
      <c r="BJ97" s="155" t="s">
        <v>453</v>
      </c>
    </row>
    <row r="98" spans="2:62" s="86" customFormat="1" ht="60" x14ac:dyDescent="0.25">
      <c r="B98" s="377"/>
      <c r="C98" s="362"/>
      <c r="D98" s="374"/>
      <c r="E98" s="374"/>
      <c r="F98" s="362"/>
      <c r="G98" s="362"/>
      <c r="H98" s="374"/>
      <c r="I98" s="380"/>
      <c r="J98" s="380"/>
      <c r="K98" s="121" t="s">
        <v>730</v>
      </c>
      <c r="L98" s="353"/>
      <c r="M98" s="365"/>
      <c r="N98" s="362"/>
      <c r="O98" s="362"/>
      <c r="P98" s="365"/>
      <c r="Q98" s="371"/>
      <c r="R98" s="374" t="s">
        <v>731</v>
      </c>
      <c r="S98" s="374"/>
      <c r="T98" s="102" t="s">
        <v>286</v>
      </c>
      <c r="U98" s="106">
        <f t="shared" si="239"/>
        <v>15</v>
      </c>
      <c r="V98" s="102" t="s">
        <v>287</v>
      </c>
      <c r="W98" s="106">
        <f t="shared" si="240"/>
        <v>15</v>
      </c>
      <c r="X98" s="102" t="s">
        <v>288</v>
      </c>
      <c r="Y98" s="106">
        <f t="shared" si="241"/>
        <v>15</v>
      </c>
      <c r="Z98" s="102" t="s">
        <v>291</v>
      </c>
      <c r="AA98" s="106">
        <f t="shared" si="242"/>
        <v>15</v>
      </c>
      <c r="AB98" s="248" t="s">
        <v>290</v>
      </c>
      <c r="AC98" s="106">
        <f t="shared" si="243"/>
        <v>15</v>
      </c>
      <c r="AD98" s="102" t="s">
        <v>292</v>
      </c>
      <c r="AE98" s="106">
        <f t="shared" si="244"/>
        <v>15</v>
      </c>
      <c r="AF98" s="102" t="s">
        <v>376</v>
      </c>
      <c r="AG98" s="106">
        <f t="shared" si="245"/>
        <v>5</v>
      </c>
      <c r="AH98" s="105">
        <f t="shared" si="227"/>
        <v>95</v>
      </c>
      <c r="AI98" s="105" t="str">
        <f t="shared" ref="AI98:AI99" si="249">IF(AH98&gt;=96,"Fuerte",IF(AH98&gt;=86,"Moderado",IF(AH98&gt;=1,"Débil","")))</f>
        <v>Moderado</v>
      </c>
      <c r="AJ98" s="107" t="s">
        <v>342</v>
      </c>
      <c r="AK98" s="105" t="str">
        <f t="shared" si="246"/>
        <v>Moderado</v>
      </c>
      <c r="AL98" s="105" t="str">
        <f t="shared" si="247"/>
        <v>ModeradoModerado</v>
      </c>
      <c r="AM98" s="105" t="str">
        <f>IFERROR(VLOOKUP(AL98,[12]FORMULAS!$B$69:$D$77,3,FALSE),"")</f>
        <v>Moderado</v>
      </c>
      <c r="AN98" s="105">
        <f t="shared" si="248"/>
        <v>50</v>
      </c>
      <c r="AO98" s="105" t="str">
        <f>IFERROR(VLOOKUP(AL98,[12]FORMULAS!$B$69:$C$77,2,FALSE),"")</f>
        <v>Sí</v>
      </c>
      <c r="AP98" s="359"/>
      <c r="AQ98" s="359"/>
      <c r="AR98" s="356"/>
      <c r="AS98" s="356"/>
      <c r="AT98" s="359"/>
      <c r="AU98" s="359"/>
      <c r="AV98" s="359"/>
      <c r="AW98" s="362"/>
      <c r="AX98" s="362"/>
      <c r="AY98" s="365"/>
      <c r="AZ98" s="368"/>
      <c r="BA98" s="371"/>
      <c r="BB98" s="152" t="s">
        <v>740</v>
      </c>
      <c r="BC98" s="84" t="s">
        <v>741</v>
      </c>
      <c r="BD98" s="152" t="s">
        <v>714</v>
      </c>
      <c r="BE98" s="253" t="s">
        <v>715</v>
      </c>
      <c r="BF98" s="253" t="s">
        <v>742</v>
      </c>
      <c r="BG98" s="84"/>
      <c r="BH98" s="82"/>
      <c r="BI98" s="82"/>
      <c r="BJ98" s="155"/>
    </row>
    <row r="99" spans="2:62" s="86" customFormat="1" ht="20.100000000000001" customHeight="1" thickBot="1" x14ac:dyDescent="0.3">
      <c r="B99" s="378"/>
      <c r="C99" s="363"/>
      <c r="D99" s="375"/>
      <c r="E99" s="375"/>
      <c r="F99" s="363"/>
      <c r="G99" s="363"/>
      <c r="H99" s="375"/>
      <c r="I99" s="381"/>
      <c r="J99" s="381"/>
      <c r="K99" s="137"/>
      <c r="L99" s="354"/>
      <c r="M99" s="366"/>
      <c r="N99" s="363"/>
      <c r="O99" s="363"/>
      <c r="P99" s="366"/>
      <c r="Q99" s="372"/>
      <c r="R99" s="375"/>
      <c r="S99" s="375"/>
      <c r="T99" s="125"/>
      <c r="U99" s="126">
        <f t="shared" si="239"/>
        <v>0</v>
      </c>
      <c r="V99" s="125"/>
      <c r="W99" s="126">
        <f t="shared" si="240"/>
        <v>0</v>
      </c>
      <c r="X99" s="125"/>
      <c r="Y99" s="126">
        <f t="shared" si="241"/>
        <v>0</v>
      </c>
      <c r="Z99" s="125"/>
      <c r="AA99" s="126">
        <f t="shared" si="242"/>
        <v>0</v>
      </c>
      <c r="AB99" s="125"/>
      <c r="AC99" s="126">
        <f t="shared" si="243"/>
        <v>0</v>
      </c>
      <c r="AD99" s="125"/>
      <c r="AE99" s="126">
        <f t="shared" si="244"/>
        <v>0</v>
      </c>
      <c r="AF99" s="125"/>
      <c r="AG99" s="126">
        <f t="shared" si="245"/>
        <v>0</v>
      </c>
      <c r="AH99" s="129">
        <f t="shared" si="227"/>
        <v>0</v>
      </c>
      <c r="AI99" s="129" t="str">
        <f t="shared" si="249"/>
        <v/>
      </c>
      <c r="AJ99" s="130"/>
      <c r="AK99" s="129" t="str">
        <f t="shared" si="246"/>
        <v/>
      </c>
      <c r="AL99" s="129" t="str">
        <f t="shared" si="247"/>
        <v/>
      </c>
      <c r="AM99" s="129" t="str">
        <f>IFERROR(VLOOKUP(AL99,[12]FORMULAS!$B$69:$D$77,3,FALSE),"")</f>
        <v/>
      </c>
      <c r="AN99" s="129" t="str">
        <f t="shared" si="248"/>
        <v/>
      </c>
      <c r="AO99" s="129" t="str">
        <f>IFERROR(VLOOKUP(AL99,[12]FORMULAS!$B$69:$C$77,2,FALSE),"")</f>
        <v/>
      </c>
      <c r="AP99" s="360"/>
      <c r="AQ99" s="360"/>
      <c r="AR99" s="357"/>
      <c r="AS99" s="357"/>
      <c r="AT99" s="360"/>
      <c r="AU99" s="360"/>
      <c r="AV99" s="360"/>
      <c r="AW99" s="363"/>
      <c r="AX99" s="363"/>
      <c r="AY99" s="366"/>
      <c r="AZ99" s="369"/>
      <c r="BA99" s="372"/>
      <c r="BB99" s="131"/>
      <c r="BC99" s="132"/>
      <c r="BD99" s="132"/>
      <c r="BE99" s="161"/>
      <c r="BF99" s="293"/>
      <c r="BG99" s="139"/>
      <c r="BH99" s="132"/>
      <c r="BI99" s="132"/>
      <c r="BJ99" s="156"/>
    </row>
    <row r="100" spans="2:62" s="86" customFormat="1" ht="120" x14ac:dyDescent="0.25">
      <c r="B100" s="376" t="s">
        <v>78</v>
      </c>
      <c r="C100" s="361">
        <v>26</v>
      </c>
      <c r="D100" s="373" t="s">
        <v>743</v>
      </c>
      <c r="E100" s="373" t="s">
        <v>744</v>
      </c>
      <c r="F100" s="361" t="s">
        <v>745</v>
      </c>
      <c r="G100" s="361" t="s">
        <v>98</v>
      </c>
      <c r="H100" s="373" t="s">
        <v>532</v>
      </c>
      <c r="I100" s="379"/>
      <c r="J100" s="379"/>
      <c r="K100" s="109" t="s">
        <v>746</v>
      </c>
      <c r="L100" s="352" t="s">
        <v>747</v>
      </c>
      <c r="M100" s="364" t="str">
        <f>IF(F100="gestion","impacto",IF(F100="corrupcion","impactocorrupcion",IF(F100="seguridad_de_la_informacion","impacto","")))</f>
        <v/>
      </c>
      <c r="N100" s="361" t="s">
        <v>18</v>
      </c>
      <c r="O100" s="495" t="s">
        <v>24</v>
      </c>
      <c r="P100" s="364" t="str">
        <f>N100&amp;O100</f>
        <v>PosibleMayor</v>
      </c>
      <c r="Q100" s="370" t="str">
        <f>IFERROR(VLOOKUP(P100,[12]FORMULAS!$B$37:$C$61,2,FALSE),"")</f>
        <v>Riesgo extremo</v>
      </c>
      <c r="R100" s="593" t="s">
        <v>748</v>
      </c>
      <c r="S100" s="593"/>
      <c r="T100" s="112" t="s">
        <v>286</v>
      </c>
      <c r="U100" s="113">
        <f>IF(T100="Asignado",15,0)</f>
        <v>15</v>
      </c>
      <c r="V100" s="112" t="s">
        <v>287</v>
      </c>
      <c r="W100" s="113">
        <f>IF(V100="Adecuado",15,0)</f>
        <v>15</v>
      </c>
      <c r="X100" s="112" t="s">
        <v>288</v>
      </c>
      <c r="Y100" s="113">
        <f>IF(X100="Oportuna",15,0)</f>
        <v>15</v>
      </c>
      <c r="Z100" s="112" t="s">
        <v>291</v>
      </c>
      <c r="AA100" s="113">
        <f>IF(Z100="Prevenir",15,IF(Z100="Detectar",10,0))</f>
        <v>15</v>
      </c>
      <c r="AB100" s="112" t="s">
        <v>290</v>
      </c>
      <c r="AC100" s="113">
        <f>IF(AB100="Confiable",15,0)</f>
        <v>15</v>
      </c>
      <c r="AD100" s="112" t="s">
        <v>292</v>
      </c>
      <c r="AE100" s="113">
        <f>IF(AD100="Se investigan y resuelven oportunamente",15,0)</f>
        <v>15</v>
      </c>
      <c r="AF100" s="112" t="s">
        <v>289</v>
      </c>
      <c r="AG100" s="113">
        <f>IF(AF100="Completa",10,IF(AF100="incompleta",5,0))</f>
        <v>10</v>
      </c>
      <c r="AH100" s="116">
        <f t="shared" si="227"/>
        <v>100</v>
      </c>
      <c r="AI100" s="116" t="str">
        <f>IF(AH100&gt;=96,"Fuerte",IF(AH100&gt;=86,"Moderado",IF(AH100&gt;=1,"Débil","")))</f>
        <v>Fuerte</v>
      </c>
      <c r="AJ100" s="117" t="s">
        <v>293</v>
      </c>
      <c r="AK100" s="116" t="str">
        <f>IF(AJ100="Siempre se ejecuta","Fuerte",IF(AJ100="Algunas veces","Moderado",IF(AJ100="no se ejecuta","Débil","")))</f>
        <v>Fuerte</v>
      </c>
      <c r="AL100" s="116" t="str">
        <f>AI100&amp;AK100</f>
        <v>FuerteFuerte</v>
      </c>
      <c r="AM100" s="116" t="str">
        <f>IFERROR(VLOOKUP(AL100,[12]FORMULAS!$B$69:$D$77,3,FALSE),"")</f>
        <v>Fuerte</v>
      </c>
      <c r="AN100" s="116">
        <f>IF(AM100="fuerte",100,IF(AM100="Moderado",50,IF(AM100="débil",0,"")))</f>
        <v>100</v>
      </c>
      <c r="AO100" s="116" t="str">
        <f>IFERROR(VLOOKUP(AL100,[12]FORMULAS!$B$69:$D$77,2,FALSE),"")</f>
        <v>No</v>
      </c>
      <c r="AP100" s="358">
        <f>IFERROR(AVERAGE(AN100:AN103),0)</f>
        <v>83.333333333333329</v>
      </c>
      <c r="AQ100" s="358" t="str">
        <f>IF(AP100&gt;=100,"Fuerte",IF(AP100&gt;=50,"Moderado",IF(AP100&gt;=1,"Débil","")))</f>
        <v>Moderado</v>
      </c>
      <c r="AR100" s="355" t="s">
        <v>160</v>
      </c>
      <c r="AS100" s="355" t="s">
        <v>162</v>
      </c>
      <c r="AT100" s="358" t="str">
        <f>+AQ100&amp;AR100&amp;AS100</f>
        <v>ModeradoDirectamenteIndirectamente</v>
      </c>
      <c r="AU100" s="358">
        <f>IFERROR(VLOOKUP(AT100,[12]FORMULAS!$B$94:$D$101,2,FALSE),0)</f>
        <v>1</v>
      </c>
      <c r="AV100" s="358">
        <f>IFERROR(VLOOKUP(AT100,[12]FORMULAS!$B$94:$D$101,3,FALSE),0)</f>
        <v>0</v>
      </c>
      <c r="AW100" s="361" t="s">
        <v>17</v>
      </c>
      <c r="AX100" s="361" t="s">
        <v>24</v>
      </c>
      <c r="AY100" s="364" t="str">
        <f>AW100&amp;AX100</f>
        <v>ImprobableMayor</v>
      </c>
      <c r="AZ100" s="367" t="str">
        <f>IFERROR(VLOOKUP(AY100,[12]FORMULAS!$B$37:$C$61,2,FALSE),"")</f>
        <v>Riesgo alto</v>
      </c>
      <c r="BA100" s="370" t="s">
        <v>167</v>
      </c>
      <c r="BB100" s="153" t="s">
        <v>753</v>
      </c>
      <c r="BC100" s="119" t="s">
        <v>754</v>
      </c>
      <c r="BD100" s="119" t="s">
        <v>755</v>
      </c>
      <c r="BE100" s="291" t="s">
        <v>715</v>
      </c>
      <c r="BF100" s="292" t="s">
        <v>756</v>
      </c>
      <c r="BG100" s="119" t="s">
        <v>757</v>
      </c>
      <c r="BH100" s="119" t="s">
        <v>722</v>
      </c>
      <c r="BI100" s="119" t="s">
        <v>714</v>
      </c>
      <c r="BJ100" s="154" t="s">
        <v>453</v>
      </c>
    </row>
    <row r="101" spans="2:62" s="86" customFormat="1" ht="84" x14ac:dyDescent="0.25">
      <c r="B101" s="377"/>
      <c r="C101" s="362"/>
      <c r="D101" s="374"/>
      <c r="E101" s="374"/>
      <c r="F101" s="362"/>
      <c r="G101" s="362"/>
      <c r="H101" s="374"/>
      <c r="I101" s="380"/>
      <c r="J101" s="380"/>
      <c r="K101" s="121" t="s">
        <v>749</v>
      </c>
      <c r="L101" s="353"/>
      <c r="M101" s="365"/>
      <c r="N101" s="362"/>
      <c r="O101" s="496"/>
      <c r="P101" s="365"/>
      <c r="Q101" s="371"/>
      <c r="R101" s="594" t="s">
        <v>750</v>
      </c>
      <c r="S101" s="594"/>
      <c r="T101" s="102" t="s">
        <v>286</v>
      </c>
      <c r="U101" s="106">
        <f t="shared" ref="U101:U103" si="250">IF(T101="Asignado",15,0)</f>
        <v>15</v>
      </c>
      <c r="V101" s="102" t="s">
        <v>287</v>
      </c>
      <c r="W101" s="106">
        <f t="shared" ref="W101:W103" si="251">IF(V101="Adecuado",15,0)</f>
        <v>15</v>
      </c>
      <c r="X101" s="102" t="s">
        <v>288</v>
      </c>
      <c r="Y101" s="106">
        <f t="shared" ref="Y101:Y103" si="252">IF(X101="Oportuna",15,0)</f>
        <v>15</v>
      </c>
      <c r="Z101" s="102" t="s">
        <v>291</v>
      </c>
      <c r="AA101" s="106">
        <f t="shared" ref="AA101:AA103" si="253">IF(Z101="Prevenir",15,IF(Z101="Detectar",10,0))</f>
        <v>15</v>
      </c>
      <c r="AB101" s="102" t="s">
        <v>290</v>
      </c>
      <c r="AC101" s="106">
        <f t="shared" ref="AC101:AC103" si="254">IF(AB101="Confiable",15,0)</f>
        <v>15</v>
      </c>
      <c r="AD101" s="102" t="s">
        <v>292</v>
      </c>
      <c r="AE101" s="106">
        <f t="shared" ref="AE101:AE103" si="255">IF(AD101="Se investigan y resuelven oportunamente",15,0)</f>
        <v>15</v>
      </c>
      <c r="AF101" s="102" t="s">
        <v>289</v>
      </c>
      <c r="AG101" s="106">
        <f t="shared" ref="AG101:AG103" si="256">IF(AF101="Completa",10,IF(AF101="incompleta",5,0))</f>
        <v>10</v>
      </c>
      <c r="AH101" s="105">
        <f t="shared" si="227"/>
        <v>100</v>
      </c>
      <c r="AI101" s="105" t="str">
        <f>IF(AH101&gt;=96,"Fuerte",IF(AH101&gt;=86,"Moderado",IF(AH101&gt;=1,"Débil","")))</f>
        <v>Fuerte</v>
      </c>
      <c r="AJ101" s="107" t="s">
        <v>293</v>
      </c>
      <c r="AK101" s="105" t="str">
        <f t="shared" ref="AK101:AK103" si="257">IF(AJ101="Siempre se ejecuta","Fuerte",IF(AJ101="Algunas veces","Moderado",IF(AJ101="no se ejecuta","Débil","")))</f>
        <v>Fuerte</v>
      </c>
      <c r="AL101" s="105" t="str">
        <f t="shared" ref="AL101:AL103" si="258">AI101&amp;AK101</f>
        <v>FuerteFuerte</v>
      </c>
      <c r="AM101" s="105" t="str">
        <f>IFERROR(VLOOKUP(AL101,[12]FORMULAS!$B$69:$D$77,3,FALSE),"")</f>
        <v>Fuerte</v>
      </c>
      <c r="AN101" s="105">
        <f t="shared" ref="AN101:AN103" si="259">IF(AM101="fuerte",100,IF(AM101="Moderado",50,IF(AM101="débil",0,"")))</f>
        <v>100</v>
      </c>
      <c r="AO101" s="105" t="str">
        <f>IFERROR(VLOOKUP(AL101,[12]FORMULAS!$B$69:$C$77,2,FALSE),"")</f>
        <v>No</v>
      </c>
      <c r="AP101" s="359"/>
      <c r="AQ101" s="359"/>
      <c r="AR101" s="356"/>
      <c r="AS101" s="356"/>
      <c r="AT101" s="359"/>
      <c r="AU101" s="359"/>
      <c r="AV101" s="359"/>
      <c r="AW101" s="362"/>
      <c r="AX101" s="362"/>
      <c r="AY101" s="365"/>
      <c r="AZ101" s="368"/>
      <c r="BA101" s="371"/>
      <c r="BB101" s="152" t="s">
        <v>758</v>
      </c>
      <c r="BC101" s="84" t="s">
        <v>759</v>
      </c>
      <c r="BD101" s="84" t="s">
        <v>760</v>
      </c>
      <c r="BE101" s="253" t="s">
        <v>715</v>
      </c>
      <c r="BF101" s="89" t="s">
        <v>761</v>
      </c>
      <c r="BG101" s="84" t="s">
        <v>762</v>
      </c>
      <c r="BH101" s="84" t="s">
        <v>763</v>
      </c>
      <c r="BI101" s="84" t="s">
        <v>714</v>
      </c>
      <c r="BJ101" s="155" t="s">
        <v>453</v>
      </c>
    </row>
    <row r="102" spans="2:62" s="86" customFormat="1" ht="84" x14ac:dyDescent="0.25">
      <c r="B102" s="377"/>
      <c r="C102" s="362"/>
      <c r="D102" s="374"/>
      <c r="E102" s="374"/>
      <c r="F102" s="362"/>
      <c r="G102" s="362"/>
      <c r="H102" s="374"/>
      <c r="I102" s="380"/>
      <c r="J102" s="380"/>
      <c r="K102" s="121" t="s">
        <v>751</v>
      </c>
      <c r="L102" s="353"/>
      <c r="M102" s="365"/>
      <c r="N102" s="362"/>
      <c r="O102" s="496"/>
      <c r="P102" s="365"/>
      <c r="Q102" s="371"/>
      <c r="R102" s="374" t="s">
        <v>752</v>
      </c>
      <c r="S102" s="374"/>
      <c r="T102" s="102" t="s">
        <v>286</v>
      </c>
      <c r="U102" s="106">
        <f t="shared" si="250"/>
        <v>15</v>
      </c>
      <c r="V102" s="102" t="s">
        <v>287</v>
      </c>
      <c r="W102" s="106">
        <f t="shared" si="251"/>
        <v>15</v>
      </c>
      <c r="X102" s="102" t="s">
        <v>288</v>
      </c>
      <c r="Y102" s="106">
        <f t="shared" si="252"/>
        <v>15</v>
      </c>
      <c r="Z102" s="102" t="s">
        <v>291</v>
      </c>
      <c r="AA102" s="106">
        <f t="shared" si="253"/>
        <v>15</v>
      </c>
      <c r="AB102" s="102" t="s">
        <v>290</v>
      </c>
      <c r="AC102" s="106">
        <f t="shared" si="254"/>
        <v>15</v>
      </c>
      <c r="AD102" s="102" t="s">
        <v>292</v>
      </c>
      <c r="AE102" s="106">
        <f t="shared" si="255"/>
        <v>15</v>
      </c>
      <c r="AF102" s="102" t="s">
        <v>289</v>
      </c>
      <c r="AG102" s="106">
        <f t="shared" si="256"/>
        <v>10</v>
      </c>
      <c r="AH102" s="105">
        <f t="shared" si="227"/>
        <v>100</v>
      </c>
      <c r="AI102" s="105" t="str">
        <f t="shared" ref="AI102:AI103" si="260">IF(AH102&gt;=96,"Fuerte",IF(AH102&gt;=86,"Moderado",IF(AH102&gt;=1,"Débil","")))</f>
        <v>Fuerte</v>
      </c>
      <c r="AJ102" s="107" t="s">
        <v>342</v>
      </c>
      <c r="AK102" s="105" t="str">
        <f t="shared" si="257"/>
        <v>Moderado</v>
      </c>
      <c r="AL102" s="105" t="str">
        <f t="shared" si="258"/>
        <v>FuerteModerado</v>
      </c>
      <c r="AM102" s="105" t="str">
        <f>IFERROR(VLOOKUP(AL102,[12]FORMULAS!$B$69:$D$77,3,FALSE),"")</f>
        <v>Moderado</v>
      </c>
      <c r="AN102" s="105">
        <f t="shared" si="259"/>
        <v>50</v>
      </c>
      <c r="AO102" s="105" t="str">
        <f>IFERROR(VLOOKUP(AL102,[12]FORMULAS!$B$69:$C$77,2,FALSE),"")</f>
        <v>Sí</v>
      </c>
      <c r="AP102" s="359"/>
      <c r="AQ102" s="359"/>
      <c r="AR102" s="356"/>
      <c r="AS102" s="356"/>
      <c r="AT102" s="359"/>
      <c r="AU102" s="359"/>
      <c r="AV102" s="359"/>
      <c r="AW102" s="362"/>
      <c r="AX102" s="362"/>
      <c r="AY102" s="365"/>
      <c r="AZ102" s="368"/>
      <c r="BA102" s="371"/>
      <c r="BB102" s="152" t="s">
        <v>719</v>
      </c>
      <c r="BC102" s="84" t="s">
        <v>764</v>
      </c>
      <c r="BD102" s="84" t="s">
        <v>714</v>
      </c>
      <c r="BE102" s="253" t="s">
        <v>715</v>
      </c>
      <c r="BF102" s="85" t="s">
        <v>765</v>
      </c>
      <c r="BG102" s="84" t="s">
        <v>721</v>
      </c>
      <c r="BH102" s="84" t="s">
        <v>766</v>
      </c>
      <c r="BI102" s="84" t="s">
        <v>714</v>
      </c>
      <c r="BJ102" s="155" t="s">
        <v>453</v>
      </c>
    </row>
    <row r="103" spans="2:62" s="86" customFormat="1" ht="60.75" thickBot="1" x14ac:dyDescent="0.3">
      <c r="B103" s="378"/>
      <c r="C103" s="363"/>
      <c r="D103" s="375"/>
      <c r="E103" s="375"/>
      <c r="F103" s="363"/>
      <c r="G103" s="363"/>
      <c r="H103" s="375"/>
      <c r="I103" s="381"/>
      <c r="J103" s="381"/>
      <c r="K103" s="124"/>
      <c r="L103" s="354"/>
      <c r="M103" s="366"/>
      <c r="N103" s="363"/>
      <c r="O103" s="497"/>
      <c r="P103" s="366"/>
      <c r="Q103" s="372"/>
      <c r="R103" s="375"/>
      <c r="S103" s="375"/>
      <c r="T103" s="125"/>
      <c r="U103" s="126">
        <f t="shared" si="250"/>
        <v>0</v>
      </c>
      <c r="V103" s="125"/>
      <c r="W103" s="126">
        <f t="shared" si="251"/>
        <v>0</v>
      </c>
      <c r="X103" s="125"/>
      <c r="Y103" s="126">
        <f t="shared" si="252"/>
        <v>0</v>
      </c>
      <c r="Z103" s="125"/>
      <c r="AA103" s="126">
        <f t="shared" si="253"/>
        <v>0</v>
      </c>
      <c r="AB103" s="125"/>
      <c r="AC103" s="126">
        <f t="shared" si="254"/>
        <v>0</v>
      </c>
      <c r="AD103" s="125"/>
      <c r="AE103" s="126">
        <f t="shared" si="255"/>
        <v>0</v>
      </c>
      <c r="AF103" s="125"/>
      <c r="AG103" s="126">
        <f t="shared" si="256"/>
        <v>0</v>
      </c>
      <c r="AH103" s="129">
        <f t="shared" si="227"/>
        <v>0</v>
      </c>
      <c r="AI103" s="129" t="str">
        <f t="shared" si="260"/>
        <v/>
      </c>
      <c r="AJ103" s="130"/>
      <c r="AK103" s="129" t="str">
        <f t="shared" si="257"/>
        <v/>
      </c>
      <c r="AL103" s="129" t="str">
        <f t="shared" si="258"/>
        <v/>
      </c>
      <c r="AM103" s="129" t="str">
        <f>IFERROR(VLOOKUP(AL103,[12]FORMULAS!$B$69:$D$77,3,FALSE),"")</f>
        <v/>
      </c>
      <c r="AN103" s="129" t="str">
        <f t="shared" si="259"/>
        <v/>
      </c>
      <c r="AO103" s="129" t="str">
        <f>IFERROR(VLOOKUP(AL103,[12]FORMULAS!$B$69:$C$77,2,FALSE),"")</f>
        <v/>
      </c>
      <c r="AP103" s="360"/>
      <c r="AQ103" s="360"/>
      <c r="AR103" s="357"/>
      <c r="AS103" s="357"/>
      <c r="AT103" s="360"/>
      <c r="AU103" s="360"/>
      <c r="AV103" s="360"/>
      <c r="AW103" s="363"/>
      <c r="AX103" s="363"/>
      <c r="AY103" s="366"/>
      <c r="AZ103" s="369"/>
      <c r="BA103" s="372"/>
      <c r="BB103" s="161" t="s">
        <v>767</v>
      </c>
      <c r="BC103" s="139" t="s">
        <v>768</v>
      </c>
      <c r="BD103" s="139" t="s">
        <v>714</v>
      </c>
      <c r="BE103" s="294" t="s">
        <v>715</v>
      </c>
      <c r="BF103" s="290" t="s">
        <v>716</v>
      </c>
      <c r="BG103" s="295" t="s">
        <v>769</v>
      </c>
      <c r="BH103" s="139" t="s">
        <v>770</v>
      </c>
      <c r="BI103" s="139" t="s">
        <v>714</v>
      </c>
      <c r="BJ103" s="156" t="s">
        <v>453</v>
      </c>
    </row>
    <row r="104" spans="2:62" s="86" customFormat="1" ht="60" x14ac:dyDescent="0.25">
      <c r="B104" s="376" t="s">
        <v>78</v>
      </c>
      <c r="C104" s="361">
        <v>27</v>
      </c>
      <c r="D104" s="373" t="s">
        <v>771</v>
      </c>
      <c r="E104" s="373" t="s">
        <v>772</v>
      </c>
      <c r="F104" s="361" t="s">
        <v>91</v>
      </c>
      <c r="G104" s="361" t="s">
        <v>100</v>
      </c>
      <c r="H104" s="373" t="s">
        <v>773</v>
      </c>
      <c r="I104" s="379" t="s">
        <v>131</v>
      </c>
      <c r="J104" s="492" t="s">
        <v>122</v>
      </c>
      <c r="K104" s="109" t="s">
        <v>774</v>
      </c>
      <c r="L104" s="352" t="s">
        <v>775</v>
      </c>
      <c r="M104" s="364" t="str">
        <f>IF(F104="gestion","impacto",IF(F104="corrupcion","impactocorrupcion",IF(F104="seguridad_de_la_informacion","impacto","")))</f>
        <v>impacto</v>
      </c>
      <c r="N104" s="361" t="s">
        <v>19</v>
      </c>
      <c r="O104" s="495" t="s">
        <v>23</v>
      </c>
      <c r="P104" s="364" t="str">
        <f>N104&amp;O104</f>
        <v>ProbableModerado</v>
      </c>
      <c r="Q104" s="370" t="str">
        <f>IFERROR(VLOOKUP(P104,[12]FORMULAS!$B$37:$C$61,2,FALSE),"")</f>
        <v>Riesgo alto</v>
      </c>
      <c r="R104" s="373" t="s">
        <v>776</v>
      </c>
      <c r="S104" s="373"/>
      <c r="T104" s="112" t="s">
        <v>286</v>
      </c>
      <c r="U104" s="113">
        <f>IF(T104="Asignado",15,0)</f>
        <v>15</v>
      </c>
      <c r="V104" s="112" t="s">
        <v>287</v>
      </c>
      <c r="W104" s="113">
        <f>IF(V104="Adecuado",15,0)</f>
        <v>15</v>
      </c>
      <c r="X104" s="112" t="s">
        <v>288</v>
      </c>
      <c r="Y104" s="113">
        <f>IF(X104="Oportuna",15,0)</f>
        <v>15</v>
      </c>
      <c r="Z104" s="112" t="s">
        <v>291</v>
      </c>
      <c r="AA104" s="113">
        <f>IF(Z104="Prevenir",15,IF(Z104="Detectar",10,0))</f>
        <v>15</v>
      </c>
      <c r="AB104" s="112" t="s">
        <v>290</v>
      </c>
      <c r="AC104" s="113">
        <f>IF(AB104="Confiable",15,0)</f>
        <v>15</v>
      </c>
      <c r="AD104" s="112" t="s">
        <v>292</v>
      </c>
      <c r="AE104" s="113">
        <f>IF(AD104="Se investigan y resuelven oportunamente",15,0)</f>
        <v>15</v>
      </c>
      <c r="AF104" s="112" t="s">
        <v>289</v>
      </c>
      <c r="AG104" s="113">
        <f>IF(AF104="Completa",10,IF(AF104="incompleta",5,0))</f>
        <v>10</v>
      </c>
      <c r="AH104" s="116">
        <f t="shared" si="227"/>
        <v>100</v>
      </c>
      <c r="AI104" s="116" t="str">
        <f>IF(AH104&gt;=96,"Fuerte",IF(AH104&gt;=86,"Moderado",IF(AH104&gt;=1,"Débil","")))</f>
        <v>Fuerte</v>
      </c>
      <c r="AJ104" s="117" t="s">
        <v>293</v>
      </c>
      <c r="AK104" s="116" t="str">
        <f>IF(AJ104="Siempre se ejecuta","Fuerte",IF(AJ104="Algunas veces","Moderado",IF(AJ104="no se ejecuta","Débil","")))</f>
        <v>Fuerte</v>
      </c>
      <c r="AL104" s="116" t="str">
        <f>AI104&amp;AK104</f>
        <v>FuerteFuerte</v>
      </c>
      <c r="AM104" s="116" t="str">
        <f>IFERROR(VLOOKUP(AL104,[12]FORMULAS!$B$69:$D$77,3,FALSE),"")</f>
        <v>Fuerte</v>
      </c>
      <c r="AN104" s="116">
        <f>IF(AM104="fuerte",100,IF(AM104="Moderado",50,IF(AM104="débil",0,"")))</f>
        <v>100</v>
      </c>
      <c r="AO104" s="116" t="str">
        <f>IFERROR(VLOOKUP(AL104,[12]FORMULAS!$B$69:$D$77,2,FALSE),"")</f>
        <v>No</v>
      </c>
      <c r="AP104" s="358">
        <f>IFERROR(AVERAGE(AN104:AN107),0)</f>
        <v>83.333333333333329</v>
      </c>
      <c r="AQ104" s="358" t="str">
        <f>IF(AP104&gt;=100,"Fuerte",IF(AP104&gt;=50,"Moderado",IF(AP104&gt;=1,"Débil","")))</f>
        <v>Moderado</v>
      </c>
      <c r="AR104" s="355" t="s">
        <v>160</v>
      </c>
      <c r="AS104" s="355" t="s">
        <v>162</v>
      </c>
      <c r="AT104" s="358" t="str">
        <f>+AQ104&amp;AR104&amp;AS104</f>
        <v>ModeradoDirectamenteIndirectamente</v>
      </c>
      <c r="AU104" s="358">
        <f>IFERROR(VLOOKUP(AT104,[12]FORMULAS!$B$94:$D$101,2,FALSE),0)</f>
        <v>1</v>
      </c>
      <c r="AV104" s="358">
        <f>IFERROR(VLOOKUP(AT104,[12]FORMULAS!$B$94:$D$101,3,FALSE),0)</f>
        <v>0</v>
      </c>
      <c r="AW104" s="361" t="s">
        <v>18</v>
      </c>
      <c r="AX104" s="361" t="s">
        <v>23</v>
      </c>
      <c r="AY104" s="364" t="str">
        <f>AW104&amp;AX104</f>
        <v>PosibleModerado</v>
      </c>
      <c r="AZ104" s="367" t="str">
        <f>IFERROR(VLOOKUP(AY104,[12]FORMULAS!$B$37:$C$61,2,FALSE),"")</f>
        <v>Riesgo alto</v>
      </c>
      <c r="BA104" s="370" t="s">
        <v>167</v>
      </c>
      <c r="BB104" s="153" t="s">
        <v>781</v>
      </c>
      <c r="BC104" s="119" t="s">
        <v>782</v>
      </c>
      <c r="BD104" s="119" t="s">
        <v>714</v>
      </c>
      <c r="BE104" s="291" t="s">
        <v>715</v>
      </c>
      <c r="BF104" s="292" t="s">
        <v>783</v>
      </c>
      <c r="BG104" s="119" t="s">
        <v>784</v>
      </c>
      <c r="BH104" s="119" t="s">
        <v>785</v>
      </c>
      <c r="BI104" s="119" t="s">
        <v>714</v>
      </c>
      <c r="BJ104" s="154" t="s">
        <v>453</v>
      </c>
    </row>
    <row r="105" spans="2:62" s="86" customFormat="1" ht="60" x14ac:dyDescent="0.25">
      <c r="B105" s="377"/>
      <c r="C105" s="362"/>
      <c r="D105" s="374"/>
      <c r="E105" s="374"/>
      <c r="F105" s="362"/>
      <c r="G105" s="362"/>
      <c r="H105" s="374"/>
      <c r="I105" s="380"/>
      <c r="J105" s="493"/>
      <c r="K105" s="121" t="s">
        <v>777</v>
      </c>
      <c r="L105" s="353"/>
      <c r="M105" s="365"/>
      <c r="N105" s="362"/>
      <c r="O105" s="496"/>
      <c r="P105" s="365"/>
      <c r="Q105" s="371"/>
      <c r="R105" s="374" t="s">
        <v>778</v>
      </c>
      <c r="S105" s="374"/>
      <c r="T105" s="102" t="s">
        <v>286</v>
      </c>
      <c r="U105" s="106">
        <f t="shared" ref="U105:U107" si="261">IF(T105="Asignado",15,0)</f>
        <v>15</v>
      </c>
      <c r="V105" s="102" t="s">
        <v>287</v>
      </c>
      <c r="W105" s="106">
        <f t="shared" ref="W105:W107" si="262">IF(V105="Adecuado",15,0)</f>
        <v>15</v>
      </c>
      <c r="X105" s="102" t="s">
        <v>288</v>
      </c>
      <c r="Y105" s="106">
        <f t="shared" ref="Y105:Y107" si="263">IF(X105="Oportuna",15,0)</f>
        <v>15</v>
      </c>
      <c r="Z105" s="102" t="s">
        <v>291</v>
      </c>
      <c r="AA105" s="106">
        <f t="shared" ref="AA105:AA107" si="264">IF(Z105="Prevenir",15,IF(Z105="Detectar",10,0))</f>
        <v>15</v>
      </c>
      <c r="AB105" s="102" t="s">
        <v>290</v>
      </c>
      <c r="AC105" s="106">
        <f t="shared" ref="AC105:AC107" si="265">IF(AB105="Confiable",15,0)</f>
        <v>15</v>
      </c>
      <c r="AD105" s="102" t="s">
        <v>292</v>
      </c>
      <c r="AE105" s="106">
        <f t="shared" ref="AE105:AE107" si="266">IF(AD105="Se investigan y resuelven oportunamente",15,0)</f>
        <v>15</v>
      </c>
      <c r="AF105" s="102" t="s">
        <v>289</v>
      </c>
      <c r="AG105" s="106">
        <f t="shared" ref="AG105:AG107" si="267">IF(AF105="Completa",10,IF(AF105="incompleta",5,0))</f>
        <v>10</v>
      </c>
      <c r="AH105" s="105">
        <f t="shared" si="227"/>
        <v>100</v>
      </c>
      <c r="AI105" s="105" t="str">
        <f>IF(AH105&gt;=96,"Fuerte",IF(AH105&gt;=86,"Moderado",IF(AH105&gt;=1,"Débil","")))</f>
        <v>Fuerte</v>
      </c>
      <c r="AJ105" s="107" t="s">
        <v>342</v>
      </c>
      <c r="AK105" s="105" t="str">
        <f t="shared" ref="AK105:AK107" si="268">IF(AJ105="Siempre se ejecuta","Fuerte",IF(AJ105="Algunas veces","Moderado",IF(AJ105="no se ejecuta","Débil","")))</f>
        <v>Moderado</v>
      </c>
      <c r="AL105" s="105" t="str">
        <f t="shared" ref="AL105:AL107" si="269">AI105&amp;AK105</f>
        <v>FuerteModerado</v>
      </c>
      <c r="AM105" s="105" t="str">
        <f>IFERROR(VLOOKUP(AL105,[12]FORMULAS!$B$69:$D$77,3,FALSE),"")</f>
        <v>Moderado</v>
      </c>
      <c r="AN105" s="105">
        <f t="shared" ref="AN105:AN107" si="270">IF(AM105="fuerte",100,IF(AM105="Moderado",50,IF(AM105="débil",0,"")))</f>
        <v>50</v>
      </c>
      <c r="AO105" s="105" t="str">
        <f>IFERROR(VLOOKUP(AL105,[12]FORMULAS!$B$69:$C$77,2,FALSE),"")</f>
        <v>Sí</v>
      </c>
      <c r="AP105" s="359"/>
      <c r="AQ105" s="359"/>
      <c r="AR105" s="356"/>
      <c r="AS105" s="356"/>
      <c r="AT105" s="359"/>
      <c r="AU105" s="359"/>
      <c r="AV105" s="359"/>
      <c r="AW105" s="362"/>
      <c r="AX105" s="362"/>
      <c r="AY105" s="365"/>
      <c r="AZ105" s="368"/>
      <c r="BA105" s="371"/>
      <c r="BB105" s="152" t="s">
        <v>786</v>
      </c>
      <c r="BC105" s="84" t="s">
        <v>787</v>
      </c>
      <c r="BD105" s="84" t="s">
        <v>788</v>
      </c>
      <c r="BE105" s="253" t="s">
        <v>715</v>
      </c>
      <c r="BF105" s="85" t="s">
        <v>765</v>
      </c>
      <c r="BG105" s="84" t="s">
        <v>789</v>
      </c>
      <c r="BH105" s="84" t="s">
        <v>790</v>
      </c>
      <c r="BI105" s="84" t="s">
        <v>714</v>
      </c>
      <c r="BJ105" s="155" t="s">
        <v>453</v>
      </c>
    </row>
    <row r="106" spans="2:62" s="86" customFormat="1" ht="84" x14ac:dyDescent="0.25">
      <c r="B106" s="377"/>
      <c r="C106" s="362"/>
      <c r="D106" s="374"/>
      <c r="E106" s="374"/>
      <c r="F106" s="362"/>
      <c r="G106" s="362"/>
      <c r="H106" s="374"/>
      <c r="I106" s="380"/>
      <c r="J106" s="493"/>
      <c r="K106" s="121" t="s">
        <v>779</v>
      </c>
      <c r="L106" s="353"/>
      <c r="M106" s="365"/>
      <c r="N106" s="362"/>
      <c r="O106" s="496"/>
      <c r="P106" s="365"/>
      <c r="Q106" s="371"/>
      <c r="R106" s="374" t="s">
        <v>780</v>
      </c>
      <c r="S106" s="374"/>
      <c r="T106" s="102" t="s">
        <v>286</v>
      </c>
      <c r="U106" s="106">
        <f t="shared" si="261"/>
        <v>15</v>
      </c>
      <c r="V106" s="102" t="s">
        <v>287</v>
      </c>
      <c r="W106" s="106">
        <f t="shared" si="262"/>
        <v>15</v>
      </c>
      <c r="X106" s="102" t="s">
        <v>288</v>
      </c>
      <c r="Y106" s="106">
        <f t="shared" si="263"/>
        <v>15</v>
      </c>
      <c r="Z106" s="102" t="s">
        <v>291</v>
      </c>
      <c r="AA106" s="106">
        <f t="shared" si="264"/>
        <v>15</v>
      </c>
      <c r="AB106" s="102" t="s">
        <v>290</v>
      </c>
      <c r="AC106" s="106">
        <f t="shared" si="265"/>
        <v>15</v>
      </c>
      <c r="AD106" s="102" t="s">
        <v>292</v>
      </c>
      <c r="AE106" s="106">
        <f t="shared" si="266"/>
        <v>15</v>
      </c>
      <c r="AF106" s="102" t="s">
        <v>289</v>
      </c>
      <c r="AG106" s="106">
        <f t="shared" si="267"/>
        <v>10</v>
      </c>
      <c r="AH106" s="105">
        <f t="shared" si="227"/>
        <v>100</v>
      </c>
      <c r="AI106" s="105" t="str">
        <f t="shared" ref="AI106:AI107" si="271">IF(AH106&gt;=96,"Fuerte",IF(AH106&gt;=86,"Moderado",IF(AH106&gt;=1,"Débil","")))</f>
        <v>Fuerte</v>
      </c>
      <c r="AJ106" s="107" t="s">
        <v>293</v>
      </c>
      <c r="AK106" s="105" t="str">
        <f t="shared" si="268"/>
        <v>Fuerte</v>
      </c>
      <c r="AL106" s="105" t="str">
        <f t="shared" si="269"/>
        <v>FuerteFuerte</v>
      </c>
      <c r="AM106" s="105" t="str">
        <f>IFERROR(VLOOKUP(AL106,[12]FORMULAS!$B$69:$D$77,3,FALSE),"")</f>
        <v>Fuerte</v>
      </c>
      <c r="AN106" s="105">
        <f t="shared" si="270"/>
        <v>100</v>
      </c>
      <c r="AO106" s="105" t="str">
        <f>IFERROR(VLOOKUP(AL106,[12]FORMULAS!$B$69:$C$77,2,FALSE),"")</f>
        <v>No</v>
      </c>
      <c r="AP106" s="359"/>
      <c r="AQ106" s="359"/>
      <c r="AR106" s="356"/>
      <c r="AS106" s="356"/>
      <c r="AT106" s="359"/>
      <c r="AU106" s="359"/>
      <c r="AV106" s="359"/>
      <c r="AW106" s="362"/>
      <c r="AX106" s="362"/>
      <c r="AY106" s="365"/>
      <c r="AZ106" s="368"/>
      <c r="BA106" s="371"/>
      <c r="BB106" s="152" t="s">
        <v>791</v>
      </c>
      <c r="BC106" s="84" t="s">
        <v>792</v>
      </c>
      <c r="BD106" s="84" t="s">
        <v>793</v>
      </c>
      <c r="BE106" s="253" t="s">
        <v>715</v>
      </c>
      <c r="BF106" s="85" t="s">
        <v>794</v>
      </c>
      <c r="BG106" s="84" t="s">
        <v>795</v>
      </c>
      <c r="BH106" s="84" t="s">
        <v>796</v>
      </c>
      <c r="BI106" s="84" t="s">
        <v>714</v>
      </c>
      <c r="BJ106" s="155" t="s">
        <v>453</v>
      </c>
    </row>
    <row r="107" spans="2:62" s="86" customFormat="1" ht="20.100000000000001" customHeight="1" thickBot="1" x14ac:dyDescent="0.3">
      <c r="B107" s="378"/>
      <c r="C107" s="363"/>
      <c r="D107" s="375"/>
      <c r="E107" s="375"/>
      <c r="F107" s="363"/>
      <c r="G107" s="363"/>
      <c r="H107" s="375"/>
      <c r="I107" s="381"/>
      <c r="J107" s="494"/>
      <c r="K107" s="124"/>
      <c r="L107" s="354"/>
      <c r="M107" s="366"/>
      <c r="N107" s="363"/>
      <c r="O107" s="497"/>
      <c r="P107" s="366"/>
      <c r="Q107" s="372"/>
      <c r="R107" s="375"/>
      <c r="S107" s="375"/>
      <c r="T107" s="125"/>
      <c r="U107" s="126">
        <f t="shared" si="261"/>
        <v>0</v>
      </c>
      <c r="V107" s="125"/>
      <c r="W107" s="126">
        <f t="shared" si="262"/>
        <v>0</v>
      </c>
      <c r="X107" s="125"/>
      <c r="Y107" s="126">
        <f t="shared" si="263"/>
        <v>0</v>
      </c>
      <c r="Z107" s="125"/>
      <c r="AA107" s="126">
        <f t="shared" si="264"/>
        <v>0</v>
      </c>
      <c r="AB107" s="125"/>
      <c r="AC107" s="126">
        <f t="shared" si="265"/>
        <v>0</v>
      </c>
      <c r="AD107" s="125"/>
      <c r="AE107" s="126">
        <f t="shared" si="266"/>
        <v>0</v>
      </c>
      <c r="AF107" s="125"/>
      <c r="AG107" s="126">
        <f t="shared" si="267"/>
        <v>0</v>
      </c>
      <c r="AH107" s="129">
        <f t="shared" si="227"/>
        <v>0</v>
      </c>
      <c r="AI107" s="129" t="str">
        <f t="shared" si="271"/>
        <v/>
      </c>
      <c r="AJ107" s="130"/>
      <c r="AK107" s="129" t="str">
        <f t="shared" si="268"/>
        <v/>
      </c>
      <c r="AL107" s="129" t="str">
        <f t="shared" si="269"/>
        <v/>
      </c>
      <c r="AM107" s="129" t="str">
        <f>IFERROR(VLOOKUP(AL107,[12]FORMULAS!$B$69:$D$77,3,FALSE),"")</f>
        <v/>
      </c>
      <c r="AN107" s="129" t="str">
        <f t="shared" si="270"/>
        <v/>
      </c>
      <c r="AO107" s="129" t="str">
        <f>IFERROR(VLOOKUP(AL107,[12]FORMULAS!$B$69:$C$77,2,FALSE),"")</f>
        <v/>
      </c>
      <c r="AP107" s="360"/>
      <c r="AQ107" s="360"/>
      <c r="AR107" s="357"/>
      <c r="AS107" s="357"/>
      <c r="AT107" s="360"/>
      <c r="AU107" s="360"/>
      <c r="AV107" s="360"/>
      <c r="AW107" s="363"/>
      <c r="AX107" s="363"/>
      <c r="AY107" s="366"/>
      <c r="AZ107" s="369"/>
      <c r="BA107" s="372"/>
      <c r="BB107" s="131"/>
      <c r="BC107" s="132"/>
      <c r="BD107" s="132"/>
      <c r="BE107" s="161"/>
      <c r="BF107" s="201"/>
      <c r="BG107" s="139"/>
      <c r="BH107" s="132"/>
      <c r="BI107" s="132"/>
      <c r="BJ107" s="156"/>
    </row>
    <row r="108" spans="2:62" s="86" customFormat="1" ht="60" x14ac:dyDescent="0.25">
      <c r="B108" s="407" t="s">
        <v>79</v>
      </c>
      <c r="C108" s="481">
        <v>28</v>
      </c>
      <c r="D108" s="405" t="s">
        <v>797</v>
      </c>
      <c r="E108" s="405" t="s">
        <v>798</v>
      </c>
      <c r="F108" s="481" t="s">
        <v>90</v>
      </c>
      <c r="G108" s="481" t="s">
        <v>98</v>
      </c>
      <c r="H108" s="405" t="s">
        <v>329</v>
      </c>
      <c r="I108" s="379" t="s">
        <v>125</v>
      </c>
      <c r="J108" s="379" t="s">
        <v>107</v>
      </c>
      <c r="K108" s="109" t="s">
        <v>799</v>
      </c>
      <c r="L108" s="352" t="s">
        <v>800</v>
      </c>
      <c r="M108" s="364" t="str">
        <f>IF(F108="gestion","impacto",IF(F108="corrupcion","impactocorrupcion",IF(F108="seguridad_de_la_informacion","impacto","")))</f>
        <v>impactocorrupcion</v>
      </c>
      <c r="N108" s="361" t="s">
        <v>134</v>
      </c>
      <c r="O108" s="361" t="s">
        <v>23</v>
      </c>
      <c r="P108" s="364" t="str">
        <f>N108&amp;O108</f>
        <v>Rara vezModerado</v>
      </c>
      <c r="Q108" s="370" t="s">
        <v>140</v>
      </c>
      <c r="R108" s="478" t="s">
        <v>801</v>
      </c>
      <c r="S108" s="478"/>
      <c r="T108" s="112" t="s">
        <v>286</v>
      </c>
      <c r="U108" s="113">
        <f>IF(T108="Asignado",15,0)</f>
        <v>15</v>
      </c>
      <c r="V108" s="112" t="s">
        <v>287</v>
      </c>
      <c r="W108" s="113">
        <f>IF(V108="Adecuado",15,0)</f>
        <v>15</v>
      </c>
      <c r="X108" s="112" t="s">
        <v>288</v>
      </c>
      <c r="Y108" s="113">
        <f>IF(X108="Oportuna",15,0)</f>
        <v>15</v>
      </c>
      <c r="Z108" s="112" t="s">
        <v>341</v>
      </c>
      <c r="AA108" s="113">
        <f>IF(Z108="Prevenir",15,IF(Z108="Detectar",10,0))</f>
        <v>10</v>
      </c>
      <c r="AB108" s="112" t="s">
        <v>290</v>
      </c>
      <c r="AC108" s="113">
        <f>IF(AB108="Confiable",15,0)</f>
        <v>15</v>
      </c>
      <c r="AD108" s="174" t="s">
        <v>292</v>
      </c>
      <c r="AE108" s="113">
        <f>IF(AD108="Se investigan y resuelven oportunamente",15,0)</f>
        <v>15</v>
      </c>
      <c r="AF108" s="112" t="s">
        <v>289</v>
      </c>
      <c r="AG108" s="113">
        <f>IF(AF108="Completa",10,IF(AF108="incompleta",5,0))</f>
        <v>10</v>
      </c>
      <c r="AH108" s="116">
        <f t="shared" si="227"/>
        <v>95</v>
      </c>
      <c r="AI108" s="116" t="str">
        <f>IF(AH108&gt;=96,"Fuerte",IF(AH108&gt;=86,"Moderado",IF(AH108&gt;=1,"Débil","")))</f>
        <v>Moderado</v>
      </c>
      <c r="AJ108" s="117" t="s">
        <v>293</v>
      </c>
      <c r="AK108" s="116" t="str">
        <f>IF(AJ108="Siempre se ejecuta","Fuerte",IF(AJ108="Algunas veces","Moderado",IF(AJ108="no se ejecuta","Débil","")))</f>
        <v>Fuerte</v>
      </c>
      <c r="AL108" s="116" t="str">
        <f>AI108&amp;AK108</f>
        <v>ModeradoFuerte</v>
      </c>
      <c r="AM108" s="116" t="str">
        <f>IFERROR(VLOOKUP(AL108,[13]FORMULAS!$B$69:$D$77,3,FALSE),"")</f>
        <v>Moderado</v>
      </c>
      <c r="AN108" s="116">
        <f>IF(AM108="fuerte",100,IF(AM108="Moderado",50,IF(AM108="débil",0,"")))</f>
        <v>50</v>
      </c>
      <c r="AO108" s="116" t="s">
        <v>29</v>
      </c>
      <c r="AP108" s="358">
        <f>IFERROR(AVERAGE(AN108:AN111),0)</f>
        <v>50</v>
      </c>
      <c r="AQ108" s="358" t="str">
        <f>IF(AP108&gt;=100,"Fuerte",IF(AP108&gt;=50,"Moderado",IF(AP108&gt;=1,"Débil","")))</f>
        <v>Moderado</v>
      </c>
      <c r="AR108" s="355" t="s">
        <v>160</v>
      </c>
      <c r="AS108" s="355" t="s">
        <v>160</v>
      </c>
      <c r="AT108" s="358" t="str">
        <f>+AQ108&amp;AR108&amp;AS108</f>
        <v>ModeradoDirectamenteDirectamente</v>
      </c>
      <c r="AU108" s="358">
        <f>IFERROR(VLOOKUP(AT108,[13]FORMULAS!$B$94:$D$101,2,FALSE),0)</f>
        <v>1</v>
      </c>
      <c r="AV108" s="358">
        <f>IFERROR(VLOOKUP(AT108,[13]FORMULAS!$B$94:$D$101,3,FALSE),0)</f>
        <v>1</v>
      </c>
      <c r="AW108" s="361" t="s">
        <v>134</v>
      </c>
      <c r="AX108" s="361" t="s">
        <v>23</v>
      </c>
      <c r="AY108" s="364" t="str">
        <f>AW108&amp;AX108</f>
        <v>Rara vezModerado</v>
      </c>
      <c r="AZ108" s="367" t="str">
        <f>IFERROR(VLOOKUP(AY108,[13]FORMULAS!$B$37:$C$61,2,FALSE),"")</f>
        <v>Riesgo moderado</v>
      </c>
      <c r="BA108" s="370" t="s">
        <v>167</v>
      </c>
      <c r="BB108" s="296" t="s">
        <v>806</v>
      </c>
      <c r="BC108" s="153" t="s">
        <v>807</v>
      </c>
      <c r="BD108" s="119" t="s">
        <v>808</v>
      </c>
      <c r="BE108" s="160" t="s">
        <v>809</v>
      </c>
      <c r="BF108" s="350" t="s">
        <v>886</v>
      </c>
      <c r="BG108" s="119"/>
      <c r="BH108" s="119"/>
      <c r="BI108" s="153"/>
      <c r="BJ108" s="154"/>
    </row>
    <row r="109" spans="2:62" s="86" customFormat="1" ht="48" x14ac:dyDescent="0.25">
      <c r="B109" s="408"/>
      <c r="C109" s="482"/>
      <c r="D109" s="406"/>
      <c r="E109" s="406"/>
      <c r="F109" s="482"/>
      <c r="G109" s="482"/>
      <c r="H109" s="406"/>
      <c r="I109" s="380"/>
      <c r="J109" s="380"/>
      <c r="K109" s="121" t="s">
        <v>802</v>
      </c>
      <c r="L109" s="353"/>
      <c r="M109" s="365"/>
      <c r="N109" s="362"/>
      <c r="O109" s="362"/>
      <c r="P109" s="365"/>
      <c r="Q109" s="371"/>
      <c r="R109" s="479" t="s">
        <v>803</v>
      </c>
      <c r="S109" s="479"/>
      <c r="T109" s="102" t="s">
        <v>286</v>
      </c>
      <c r="U109" s="106">
        <f t="shared" ref="U109:U111" si="272">IF(T109="Asignado",15,0)</f>
        <v>15</v>
      </c>
      <c r="V109" s="102" t="s">
        <v>287</v>
      </c>
      <c r="W109" s="106">
        <f t="shared" ref="W109:W111" si="273">IF(V109="Adecuado",15,0)</f>
        <v>15</v>
      </c>
      <c r="X109" s="102" t="s">
        <v>288</v>
      </c>
      <c r="Y109" s="106">
        <f t="shared" ref="Y109:Y111" si="274">IF(X109="Oportuna",15,0)</f>
        <v>15</v>
      </c>
      <c r="Z109" s="102" t="s">
        <v>341</v>
      </c>
      <c r="AA109" s="106">
        <f t="shared" ref="AA109:AA111" si="275">IF(Z109="Prevenir",15,IF(Z109="Detectar",10,0))</f>
        <v>10</v>
      </c>
      <c r="AB109" s="102" t="s">
        <v>290</v>
      </c>
      <c r="AC109" s="106">
        <f t="shared" ref="AC109:AC111" si="276">IF(AB109="Confiable",15,0)</f>
        <v>15</v>
      </c>
      <c r="AD109" s="248" t="s">
        <v>292</v>
      </c>
      <c r="AE109" s="106">
        <f t="shared" ref="AE109:AE111" si="277">IF(AD109="Se investigan y resuelven oportunamente",15,0)</f>
        <v>15</v>
      </c>
      <c r="AF109" s="102" t="s">
        <v>289</v>
      </c>
      <c r="AG109" s="106">
        <f t="shared" ref="AG109:AG111" si="278">IF(AF109="Completa",10,IF(AF109="incompleta",5,0))</f>
        <v>10</v>
      </c>
      <c r="AH109" s="105">
        <f t="shared" si="227"/>
        <v>95</v>
      </c>
      <c r="AI109" s="105" t="str">
        <f>IF(AH109&gt;=96,"Fuerte",IF(AH109&gt;=86,"Moderado",IF(AH109&gt;=1,"Débil","")))</f>
        <v>Moderado</v>
      </c>
      <c r="AJ109" s="107" t="s">
        <v>293</v>
      </c>
      <c r="AK109" s="105" t="str">
        <f t="shared" ref="AK109:AK110" si="279">IF(AJ109="Siempre se ejecuta","Fuerte",IF(AJ109="Algunas veces","Moderado",IF(AJ109="no se ejecuta","Débil","")))</f>
        <v>Fuerte</v>
      </c>
      <c r="AL109" s="105" t="str">
        <f t="shared" ref="AL109:AL111" si="280">AI109&amp;AK109</f>
        <v>ModeradoFuerte</v>
      </c>
      <c r="AM109" s="105" t="str">
        <f>IFERROR(VLOOKUP(AL109,[13]FORMULAS!$B$69:$D$77,3,FALSE),"")</f>
        <v>Moderado</v>
      </c>
      <c r="AN109" s="105">
        <f t="shared" ref="AN109:AN111" si="281">IF(AM109="fuerte",100,IF(AM109="Moderado",50,IF(AM109="débil",0,"")))</f>
        <v>50</v>
      </c>
      <c r="AO109" s="105" t="s">
        <v>29</v>
      </c>
      <c r="AP109" s="359"/>
      <c r="AQ109" s="359"/>
      <c r="AR109" s="356"/>
      <c r="AS109" s="356"/>
      <c r="AT109" s="359"/>
      <c r="AU109" s="359"/>
      <c r="AV109" s="359"/>
      <c r="AW109" s="362"/>
      <c r="AX109" s="362"/>
      <c r="AY109" s="365"/>
      <c r="AZ109" s="368"/>
      <c r="BA109" s="371"/>
      <c r="BB109" s="252" t="s">
        <v>810</v>
      </c>
      <c r="BC109" s="152" t="s">
        <v>811</v>
      </c>
      <c r="BD109" s="152" t="s">
        <v>812</v>
      </c>
      <c r="BE109" s="83" t="s">
        <v>809</v>
      </c>
      <c r="BF109" s="350"/>
      <c r="BG109" s="84" t="s">
        <v>816</v>
      </c>
      <c r="BH109" s="84" t="s">
        <v>817</v>
      </c>
      <c r="BI109" s="84" t="s">
        <v>818</v>
      </c>
      <c r="BJ109" s="155" t="s">
        <v>819</v>
      </c>
    </row>
    <row r="110" spans="2:62" s="86" customFormat="1" ht="72" x14ac:dyDescent="0.25">
      <c r="B110" s="408"/>
      <c r="C110" s="482"/>
      <c r="D110" s="406"/>
      <c r="E110" s="406"/>
      <c r="F110" s="482"/>
      <c r="G110" s="482"/>
      <c r="H110" s="406"/>
      <c r="I110" s="380"/>
      <c r="J110" s="380"/>
      <c r="K110" s="121" t="s">
        <v>804</v>
      </c>
      <c r="L110" s="353"/>
      <c r="M110" s="365"/>
      <c r="N110" s="362"/>
      <c r="O110" s="362"/>
      <c r="P110" s="365"/>
      <c r="Q110" s="371"/>
      <c r="R110" s="479" t="s">
        <v>805</v>
      </c>
      <c r="S110" s="479"/>
      <c r="T110" s="102" t="s">
        <v>286</v>
      </c>
      <c r="U110" s="106">
        <f t="shared" si="272"/>
        <v>15</v>
      </c>
      <c r="V110" s="102" t="s">
        <v>287</v>
      </c>
      <c r="W110" s="106">
        <f t="shared" si="273"/>
        <v>15</v>
      </c>
      <c r="X110" s="102" t="s">
        <v>288</v>
      </c>
      <c r="Y110" s="106">
        <f t="shared" si="274"/>
        <v>15</v>
      </c>
      <c r="Z110" s="102" t="s">
        <v>341</v>
      </c>
      <c r="AA110" s="106">
        <f t="shared" si="275"/>
        <v>10</v>
      </c>
      <c r="AB110" s="102" t="s">
        <v>290</v>
      </c>
      <c r="AC110" s="106">
        <f t="shared" si="276"/>
        <v>15</v>
      </c>
      <c r="AD110" s="248" t="s">
        <v>292</v>
      </c>
      <c r="AE110" s="106">
        <f t="shared" si="277"/>
        <v>15</v>
      </c>
      <c r="AF110" s="102" t="s">
        <v>289</v>
      </c>
      <c r="AG110" s="106">
        <f t="shared" si="278"/>
        <v>10</v>
      </c>
      <c r="AH110" s="105">
        <f t="shared" si="227"/>
        <v>95</v>
      </c>
      <c r="AI110" s="105" t="str">
        <f t="shared" ref="AI110:AI111" si="282">IF(AH110&gt;=96,"Fuerte",IF(AH110&gt;=86,"Moderado",IF(AH110&gt;=1,"Débil","")))</f>
        <v>Moderado</v>
      </c>
      <c r="AJ110" s="107" t="s">
        <v>293</v>
      </c>
      <c r="AK110" s="105" t="str">
        <f t="shared" si="279"/>
        <v>Fuerte</v>
      </c>
      <c r="AL110" s="105" t="str">
        <f t="shared" si="280"/>
        <v>ModeradoFuerte</v>
      </c>
      <c r="AM110" s="105" t="str">
        <f>IFERROR(VLOOKUP(AL110,[13]FORMULAS!$B$69:$D$77,3,FALSE),"")</f>
        <v>Moderado</v>
      </c>
      <c r="AN110" s="105">
        <f t="shared" si="281"/>
        <v>50</v>
      </c>
      <c r="AO110" s="105" t="s">
        <v>29</v>
      </c>
      <c r="AP110" s="359"/>
      <c r="AQ110" s="359"/>
      <c r="AR110" s="356"/>
      <c r="AS110" s="356"/>
      <c r="AT110" s="359"/>
      <c r="AU110" s="359"/>
      <c r="AV110" s="359"/>
      <c r="AW110" s="362"/>
      <c r="AX110" s="362"/>
      <c r="AY110" s="365"/>
      <c r="AZ110" s="368"/>
      <c r="BA110" s="371"/>
      <c r="BB110" s="252" t="s">
        <v>813</v>
      </c>
      <c r="BC110" s="152" t="s">
        <v>814</v>
      </c>
      <c r="BD110" s="152" t="s">
        <v>815</v>
      </c>
      <c r="BE110" s="83" t="s">
        <v>809</v>
      </c>
      <c r="BF110" s="350"/>
      <c r="BG110" s="84"/>
      <c r="BH110" s="84"/>
      <c r="BI110" s="152"/>
      <c r="BJ110" s="155"/>
    </row>
    <row r="111" spans="2:62" s="86" customFormat="1" ht="20.100000000000001" customHeight="1" thickBot="1" x14ac:dyDescent="0.3">
      <c r="B111" s="409"/>
      <c r="C111" s="489"/>
      <c r="D111" s="490"/>
      <c r="E111" s="490"/>
      <c r="F111" s="489"/>
      <c r="G111" s="489"/>
      <c r="H111" s="490"/>
      <c r="I111" s="381"/>
      <c r="J111" s="381"/>
      <c r="K111" s="137"/>
      <c r="L111" s="354"/>
      <c r="M111" s="366"/>
      <c r="N111" s="363"/>
      <c r="O111" s="363"/>
      <c r="P111" s="366"/>
      <c r="Q111" s="372"/>
      <c r="R111" s="491"/>
      <c r="S111" s="491"/>
      <c r="T111" s="125"/>
      <c r="U111" s="126">
        <f t="shared" si="272"/>
        <v>0</v>
      </c>
      <c r="V111" s="125"/>
      <c r="W111" s="126">
        <f t="shared" si="273"/>
        <v>0</v>
      </c>
      <c r="X111" s="125"/>
      <c r="Y111" s="126">
        <f t="shared" si="274"/>
        <v>0</v>
      </c>
      <c r="Z111" s="125"/>
      <c r="AA111" s="126">
        <f t="shared" si="275"/>
        <v>0</v>
      </c>
      <c r="AB111" s="125"/>
      <c r="AC111" s="126">
        <f t="shared" si="276"/>
        <v>0</v>
      </c>
      <c r="AD111" s="184"/>
      <c r="AE111" s="126">
        <f t="shared" si="277"/>
        <v>0</v>
      </c>
      <c r="AF111" s="125"/>
      <c r="AG111" s="126">
        <f t="shared" si="278"/>
        <v>0</v>
      </c>
      <c r="AH111" s="129"/>
      <c r="AI111" s="129" t="str">
        <f t="shared" si="282"/>
        <v/>
      </c>
      <c r="AJ111" s="130"/>
      <c r="AK111" s="129"/>
      <c r="AL111" s="129" t="str">
        <f t="shared" si="280"/>
        <v/>
      </c>
      <c r="AM111" s="129" t="str">
        <f>IFERROR(VLOOKUP(AL111,[13]FORMULAS!$B$69:$D$77,3,FALSE),"")</f>
        <v/>
      </c>
      <c r="AN111" s="129" t="str">
        <f t="shared" si="281"/>
        <v/>
      </c>
      <c r="AO111" s="129"/>
      <c r="AP111" s="360"/>
      <c r="AQ111" s="360"/>
      <c r="AR111" s="357"/>
      <c r="AS111" s="357"/>
      <c r="AT111" s="360"/>
      <c r="AU111" s="360"/>
      <c r="AV111" s="360"/>
      <c r="AW111" s="363"/>
      <c r="AX111" s="363"/>
      <c r="AY111" s="366"/>
      <c r="AZ111" s="369"/>
      <c r="BA111" s="372"/>
      <c r="BB111" s="161"/>
      <c r="BC111" s="161"/>
      <c r="BD111" s="161"/>
      <c r="BE111" s="161"/>
      <c r="BF111" s="350"/>
      <c r="BG111" s="139"/>
      <c r="BH111" s="132"/>
      <c r="BI111" s="132"/>
      <c r="BJ111" s="156"/>
    </row>
    <row r="112" spans="2:62" s="86" customFormat="1" ht="72" x14ac:dyDescent="0.25">
      <c r="B112" s="407" t="s">
        <v>79</v>
      </c>
      <c r="C112" s="481">
        <v>29</v>
      </c>
      <c r="D112" s="405" t="s">
        <v>820</v>
      </c>
      <c r="E112" s="373" t="s">
        <v>821</v>
      </c>
      <c r="F112" s="361" t="s">
        <v>91</v>
      </c>
      <c r="G112" s="373" t="s">
        <v>100</v>
      </c>
      <c r="H112" s="405" t="s">
        <v>822</v>
      </c>
      <c r="I112" s="379" t="s">
        <v>130</v>
      </c>
      <c r="J112" s="379" t="s">
        <v>120</v>
      </c>
      <c r="K112" s="109" t="s">
        <v>823</v>
      </c>
      <c r="L112" s="352" t="s">
        <v>824</v>
      </c>
      <c r="M112" s="364" t="str">
        <f>IF(F112="gestion","impacto",IF(F112="corrupcion","impactocorrupcion",IF(F112="seguridad_de_la_informacion","impacto","")))</f>
        <v>impacto</v>
      </c>
      <c r="N112" s="361" t="s">
        <v>134</v>
      </c>
      <c r="O112" s="361" t="s">
        <v>23</v>
      </c>
      <c r="P112" s="364" t="str">
        <f>N112&amp;O112</f>
        <v>Rara vezModerado</v>
      </c>
      <c r="Q112" s="370" t="str">
        <f>IFERROR(VLOOKUP(P112,[13]FORMULAS!$B$37:$C$61,2,FALSE),"")</f>
        <v>Riesgo moderado</v>
      </c>
      <c r="R112" s="373" t="s">
        <v>825</v>
      </c>
      <c r="S112" s="373"/>
      <c r="T112" s="112" t="s">
        <v>286</v>
      </c>
      <c r="U112" s="113">
        <f>IF(T112="Asignado",15,0)</f>
        <v>15</v>
      </c>
      <c r="V112" s="112" t="s">
        <v>287</v>
      </c>
      <c r="W112" s="113">
        <f>IF(V112="Adecuado",15,0)</f>
        <v>15</v>
      </c>
      <c r="X112" s="112" t="s">
        <v>288</v>
      </c>
      <c r="Y112" s="113">
        <f>IF(X112="Oportuna",15,0)</f>
        <v>15</v>
      </c>
      <c r="Z112" s="112" t="s">
        <v>341</v>
      </c>
      <c r="AA112" s="113">
        <f>IF(Z112="Prevenir",15,IF(Z112="Detectar",10,0))</f>
        <v>10</v>
      </c>
      <c r="AB112" s="112" t="s">
        <v>290</v>
      </c>
      <c r="AC112" s="113">
        <f>IF(AB112="Confiable",15,0)</f>
        <v>15</v>
      </c>
      <c r="AD112" s="112" t="s">
        <v>292</v>
      </c>
      <c r="AE112" s="113">
        <f>IF(AD112="Se investigan y resuelven oportunamente",15,0)</f>
        <v>15</v>
      </c>
      <c r="AF112" s="112" t="s">
        <v>289</v>
      </c>
      <c r="AG112" s="113">
        <f>IF(AF112="Completa",10,IF(AF112="incompleta",5,0))</f>
        <v>10</v>
      </c>
      <c r="AH112" s="116">
        <f t="shared" ref="AH112:AH139" si="283">U112+W112+Y112+AA112+AC112+AE112+AG112</f>
        <v>95</v>
      </c>
      <c r="AI112" s="116" t="str">
        <f>IF(AH112&gt;=96,"Fuerte",IF(AH112&gt;=86,"Moderado",IF(AH112&gt;=1,"Débil","")))</f>
        <v>Moderado</v>
      </c>
      <c r="AJ112" s="117" t="s">
        <v>293</v>
      </c>
      <c r="AK112" s="116" t="str">
        <f>IF(AJ112="Siempre se ejecuta","Fuerte",IF(AJ112="Algunas veces","Moderado",IF(AJ112="no se ejecuta","Débil","")))</f>
        <v>Fuerte</v>
      </c>
      <c r="AL112" s="116" t="str">
        <f>AI112&amp;AK112</f>
        <v>ModeradoFuerte</v>
      </c>
      <c r="AM112" s="116" t="str">
        <f>IFERROR(VLOOKUP(AL112,[13]FORMULAS!$B$69:$D$77,3,FALSE),"")</f>
        <v>Moderado</v>
      </c>
      <c r="AN112" s="116">
        <f>IF(AM112="fuerte",100,IF(AM112="Moderado",50,IF(AM112="débil",0,"")))</f>
        <v>50</v>
      </c>
      <c r="AO112" s="116" t="s">
        <v>29</v>
      </c>
      <c r="AP112" s="358">
        <f>IFERROR(AVERAGE(AN112:AN115),0)</f>
        <v>25</v>
      </c>
      <c r="AQ112" s="358" t="str">
        <f>IF(AP112&gt;=100,"Fuerte",IF(AP112&gt;=50,"Moderado",IF(AP112&gt;=1,"Débil","")))</f>
        <v>Débil</v>
      </c>
      <c r="AR112" s="355" t="s">
        <v>160</v>
      </c>
      <c r="AS112" s="355" t="s">
        <v>160</v>
      </c>
      <c r="AT112" s="358" t="str">
        <f>+AQ112&amp;AR112&amp;AS112</f>
        <v>DébilDirectamenteDirectamente</v>
      </c>
      <c r="AU112" s="358">
        <f>IFERROR(VLOOKUP(AT112,[13]FORMULAS!$B$94:$D$101,2,FALSE),0)</f>
        <v>0</v>
      </c>
      <c r="AV112" s="358">
        <f>IFERROR(VLOOKUP(AT112,[13]FORMULAS!$B$94:$D$101,3,FALSE),0)</f>
        <v>0</v>
      </c>
      <c r="AW112" s="361" t="s">
        <v>134</v>
      </c>
      <c r="AX112" s="361" t="s">
        <v>23</v>
      </c>
      <c r="AY112" s="364" t="str">
        <f>AW112&amp;AX112</f>
        <v>Rara vezModerado</v>
      </c>
      <c r="AZ112" s="367" t="str">
        <f>IFERROR(VLOOKUP(AY112,[13]FORMULAS!$B$37:$C$61,2,FALSE),"")</f>
        <v>Riesgo moderado</v>
      </c>
      <c r="BA112" s="370" t="s">
        <v>166</v>
      </c>
      <c r="BB112" s="140" t="s">
        <v>829</v>
      </c>
      <c r="BC112" s="153" t="s">
        <v>830</v>
      </c>
      <c r="BD112" s="153" t="s">
        <v>831</v>
      </c>
      <c r="BE112" s="160" t="s">
        <v>809</v>
      </c>
      <c r="BF112" s="350"/>
      <c r="BG112" s="119" t="s">
        <v>835</v>
      </c>
      <c r="BH112" s="119" t="s">
        <v>836</v>
      </c>
      <c r="BI112" s="119" t="s">
        <v>815</v>
      </c>
      <c r="BJ112" s="154" t="s">
        <v>837</v>
      </c>
    </row>
    <row r="113" spans="2:62" s="86" customFormat="1" ht="132" x14ac:dyDescent="0.25">
      <c r="B113" s="408"/>
      <c r="C113" s="482"/>
      <c r="D113" s="406"/>
      <c r="E113" s="374"/>
      <c r="F113" s="362"/>
      <c r="G113" s="374"/>
      <c r="H113" s="406"/>
      <c r="I113" s="380"/>
      <c r="J113" s="380"/>
      <c r="K113" s="121" t="s">
        <v>826</v>
      </c>
      <c r="L113" s="353"/>
      <c r="M113" s="365"/>
      <c r="N113" s="362"/>
      <c r="O113" s="362"/>
      <c r="P113" s="365"/>
      <c r="Q113" s="371"/>
      <c r="R113" s="374" t="s">
        <v>827</v>
      </c>
      <c r="S113" s="374"/>
      <c r="T113" s="102" t="s">
        <v>286</v>
      </c>
      <c r="U113" s="106">
        <f t="shared" ref="U113:U115" si="284">IF(T113="Asignado",15,0)</f>
        <v>15</v>
      </c>
      <c r="V113" s="102" t="s">
        <v>287</v>
      </c>
      <c r="W113" s="106">
        <f t="shared" ref="W113:W115" si="285">IF(V113="Adecuado",15,0)</f>
        <v>15</v>
      </c>
      <c r="X113" s="102" t="s">
        <v>288</v>
      </c>
      <c r="Y113" s="106">
        <f t="shared" ref="Y113:Y115" si="286">IF(X113="Oportuna",15,0)</f>
        <v>15</v>
      </c>
      <c r="Z113" s="102" t="s">
        <v>341</v>
      </c>
      <c r="AA113" s="106">
        <f t="shared" ref="AA113:AA115" si="287">IF(Z113="Prevenir",15,IF(Z113="Detectar",10,0))</f>
        <v>10</v>
      </c>
      <c r="AB113" s="102" t="s">
        <v>290</v>
      </c>
      <c r="AC113" s="106">
        <f t="shared" ref="AC113:AC115" si="288">IF(AB113="Confiable",15,0)</f>
        <v>15</v>
      </c>
      <c r="AD113" s="102" t="s">
        <v>292</v>
      </c>
      <c r="AE113" s="106">
        <f t="shared" ref="AE113:AE115" si="289">IF(AD113="Se investigan y resuelven oportunamente",15,0)</f>
        <v>15</v>
      </c>
      <c r="AF113" s="102" t="s">
        <v>828</v>
      </c>
      <c r="AG113" s="106">
        <f t="shared" ref="AG113:AG115" si="290">IF(AF113="Completa",10,IF(AF113="incompleta",5,0))</f>
        <v>0</v>
      </c>
      <c r="AH113" s="105">
        <f t="shared" si="283"/>
        <v>85</v>
      </c>
      <c r="AI113" s="105" t="str">
        <f>IF(AH113&gt;=96,"Fuerte",IF(AH113&gt;=86,"Moderado",IF(AH113&gt;=1,"Débil","")))</f>
        <v>Débil</v>
      </c>
      <c r="AJ113" s="107" t="s">
        <v>293</v>
      </c>
      <c r="AK113" s="105" t="str">
        <f t="shared" ref="AK113:AK115" si="291">IF(AJ113="Siempre se ejecuta","Fuerte",IF(AJ113="Algunas veces","Moderado",IF(AJ113="no se ejecuta","Débil","")))</f>
        <v>Fuerte</v>
      </c>
      <c r="AL113" s="105" t="str">
        <f t="shared" ref="AL113:AL115" si="292">AI113&amp;AK113</f>
        <v>DébilFuerte</v>
      </c>
      <c r="AM113" s="105" t="str">
        <f>IFERROR(VLOOKUP(AL113,[13]FORMULAS!$B$69:$D$77,3,FALSE),"")</f>
        <v>Débil</v>
      </c>
      <c r="AN113" s="105">
        <f t="shared" ref="AN113:AN115" si="293">IF(AM113="fuerte",100,IF(AM113="Moderado",50,IF(AM113="débil",0,"")))</f>
        <v>0</v>
      </c>
      <c r="AO113" s="105" t="s">
        <v>29</v>
      </c>
      <c r="AP113" s="359"/>
      <c r="AQ113" s="359"/>
      <c r="AR113" s="356"/>
      <c r="AS113" s="356"/>
      <c r="AT113" s="359"/>
      <c r="AU113" s="359"/>
      <c r="AV113" s="359"/>
      <c r="AW113" s="362"/>
      <c r="AX113" s="362"/>
      <c r="AY113" s="365"/>
      <c r="AZ113" s="368"/>
      <c r="BA113" s="371"/>
      <c r="BB113" s="152" t="s">
        <v>832</v>
      </c>
      <c r="BC113" s="152" t="s">
        <v>833</v>
      </c>
      <c r="BD113" s="152" t="s">
        <v>834</v>
      </c>
      <c r="BE113" s="83" t="s">
        <v>809</v>
      </c>
      <c r="BF113" s="350"/>
      <c r="BG113" s="152" t="s">
        <v>838</v>
      </c>
      <c r="BH113" s="84" t="s">
        <v>836</v>
      </c>
      <c r="BI113" s="84" t="s">
        <v>815</v>
      </c>
      <c r="BJ113" s="155" t="s">
        <v>837</v>
      </c>
    </row>
    <row r="114" spans="2:62" s="86" customFormat="1" ht="12" x14ac:dyDescent="0.25">
      <c r="B114" s="408"/>
      <c r="C114" s="482"/>
      <c r="D114" s="406"/>
      <c r="E114" s="374"/>
      <c r="F114" s="362"/>
      <c r="G114" s="374"/>
      <c r="H114" s="406"/>
      <c r="I114" s="380"/>
      <c r="J114" s="380"/>
      <c r="K114" s="121"/>
      <c r="L114" s="353"/>
      <c r="M114" s="365"/>
      <c r="N114" s="362"/>
      <c r="O114" s="362"/>
      <c r="P114" s="365"/>
      <c r="Q114" s="371"/>
      <c r="R114" s="374"/>
      <c r="S114" s="374"/>
      <c r="T114" s="102"/>
      <c r="U114" s="106">
        <f t="shared" si="284"/>
        <v>0</v>
      </c>
      <c r="V114" s="102"/>
      <c r="W114" s="106">
        <f t="shared" si="285"/>
        <v>0</v>
      </c>
      <c r="X114" s="102"/>
      <c r="Y114" s="106">
        <f t="shared" si="286"/>
        <v>0</v>
      </c>
      <c r="Z114" s="102"/>
      <c r="AA114" s="106">
        <f t="shared" si="287"/>
        <v>0</v>
      </c>
      <c r="AB114" s="102"/>
      <c r="AC114" s="106">
        <f t="shared" si="288"/>
        <v>0</v>
      </c>
      <c r="AD114" s="102"/>
      <c r="AE114" s="106">
        <f t="shared" si="289"/>
        <v>0</v>
      </c>
      <c r="AF114" s="102"/>
      <c r="AG114" s="106">
        <f t="shared" si="290"/>
        <v>0</v>
      </c>
      <c r="AH114" s="105">
        <f t="shared" si="283"/>
        <v>0</v>
      </c>
      <c r="AI114" s="105" t="str">
        <f t="shared" ref="AI114:AI115" si="294">IF(AH114&gt;=96,"Fuerte",IF(AH114&gt;=86,"Moderado",IF(AH114&gt;=1,"Débil","")))</f>
        <v/>
      </c>
      <c r="AJ114" s="107"/>
      <c r="AK114" s="105" t="str">
        <f t="shared" si="291"/>
        <v/>
      </c>
      <c r="AL114" s="105" t="str">
        <f t="shared" si="292"/>
        <v/>
      </c>
      <c r="AM114" s="105" t="str">
        <f>IFERROR(VLOOKUP(AL114,[13]FORMULAS!$B$69:$D$77,3,FALSE),"")</f>
        <v/>
      </c>
      <c r="AN114" s="105" t="str">
        <f t="shared" si="293"/>
        <v/>
      </c>
      <c r="AO114" s="105" t="str">
        <f>IFERROR(VLOOKUP(AL114,[13]FORMULAS!$B$69:$C$77,2,FALSE),"")</f>
        <v/>
      </c>
      <c r="AP114" s="359"/>
      <c r="AQ114" s="359"/>
      <c r="AR114" s="356"/>
      <c r="AS114" s="356"/>
      <c r="AT114" s="359"/>
      <c r="AU114" s="359"/>
      <c r="AV114" s="359"/>
      <c r="AW114" s="362"/>
      <c r="AX114" s="362"/>
      <c r="AY114" s="365"/>
      <c r="AZ114" s="368"/>
      <c r="BA114" s="371"/>
      <c r="BB114" s="152"/>
      <c r="BC114" s="82"/>
      <c r="BD114" s="82"/>
      <c r="BE114" s="83"/>
      <c r="BF114" s="350"/>
      <c r="BG114" s="84"/>
      <c r="BH114" s="82"/>
      <c r="BI114" s="82"/>
      <c r="BJ114" s="155"/>
    </row>
    <row r="115" spans="2:62" s="86" customFormat="1" ht="20.100000000000001" customHeight="1" thickBot="1" x14ac:dyDescent="0.3">
      <c r="B115" s="409"/>
      <c r="C115" s="489"/>
      <c r="D115" s="490"/>
      <c r="E115" s="375"/>
      <c r="F115" s="363"/>
      <c r="G115" s="375"/>
      <c r="H115" s="490"/>
      <c r="I115" s="381"/>
      <c r="J115" s="381"/>
      <c r="K115" s="137"/>
      <c r="L115" s="354"/>
      <c r="M115" s="366"/>
      <c r="N115" s="363"/>
      <c r="O115" s="363"/>
      <c r="P115" s="366"/>
      <c r="Q115" s="372"/>
      <c r="R115" s="375"/>
      <c r="S115" s="375"/>
      <c r="T115" s="125"/>
      <c r="U115" s="126">
        <f t="shared" si="284"/>
        <v>0</v>
      </c>
      <c r="V115" s="125"/>
      <c r="W115" s="126">
        <f t="shared" si="285"/>
        <v>0</v>
      </c>
      <c r="X115" s="125"/>
      <c r="Y115" s="126">
        <f t="shared" si="286"/>
        <v>0</v>
      </c>
      <c r="Z115" s="125"/>
      <c r="AA115" s="126">
        <f t="shared" si="287"/>
        <v>0</v>
      </c>
      <c r="AB115" s="125"/>
      <c r="AC115" s="126">
        <f t="shared" si="288"/>
        <v>0</v>
      </c>
      <c r="AD115" s="125"/>
      <c r="AE115" s="126">
        <f t="shared" si="289"/>
        <v>0</v>
      </c>
      <c r="AF115" s="125"/>
      <c r="AG115" s="126">
        <f t="shared" si="290"/>
        <v>0</v>
      </c>
      <c r="AH115" s="129">
        <f t="shared" si="283"/>
        <v>0</v>
      </c>
      <c r="AI115" s="129" t="str">
        <f t="shared" si="294"/>
        <v/>
      </c>
      <c r="AJ115" s="130"/>
      <c r="AK115" s="129" t="str">
        <f t="shared" si="291"/>
        <v/>
      </c>
      <c r="AL115" s="129" t="str">
        <f t="shared" si="292"/>
        <v/>
      </c>
      <c r="AM115" s="129" t="str">
        <f>IFERROR(VLOOKUP(AL115,[13]FORMULAS!$B$69:$D$77,3,FALSE),"")</f>
        <v/>
      </c>
      <c r="AN115" s="129" t="str">
        <f t="shared" si="293"/>
        <v/>
      </c>
      <c r="AO115" s="129" t="str">
        <f>IFERROR(VLOOKUP(AL115,[13]FORMULAS!$B$69:$C$77,2,FALSE),"")</f>
        <v/>
      </c>
      <c r="AP115" s="360"/>
      <c r="AQ115" s="360"/>
      <c r="AR115" s="357"/>
      <c r="AS115" s="357"/>
      <c r="AT115" s="360"/>
      <c r="AU115" s="360"/>
      <c r="AV115" s="360"/>
      <c r="AW115" s="363"/>
      <c r="AX115" s="363"/>
      <c r="AY115" s="366"/>
      <c r="AZ115" s="369"/>
      <c r="BA115" s="372"/>
      <c r="BB115" s="297"/>
      <c r="BC115" s="132"/>
      <c r="BD115" s="132"/>
      <c r="BE115" s="161"/>
      <c r="BF115" s="350"/>
      <c r="BG115" s="139"/>
      <c r="BH115" s="132"/>
      <c r="BI115" s="132"/>
      <c r="BJ115" s="156"/>
    </row>
    <row r="116" spans="2:62" s="86" customFormat="1" ht="108" x14ac:dyDescent="0.25">
      <c r="B116" s="407" t="s">
        <v>79</v>
      </c>
      <c r="C116" s="481">
        <v>30</v>
      </c>
      <c r="D116" s="405" t="s">
        <v>839</v>
      </c>
      <c r="E116" s="373" t="s">
        <v>840</v>
      </c>
      <c r="F116" s="361" t="s">
        <v>89</v>
      </c>
      <c r="G116" s="361" t="s">
        <v>96</v>
      </c>
      <c r="H116" s="373" t="s">
        <v>329</v>
      </c>
      <c r="I116" s="379" t="s">
        <v>129</v>
      </c>
      <c r="J116" s="379" t="s">
        <v>118</v>
      </c>
      <c r="K116" s="109" t="s">
        <v>841</v>
      </c>
      <c r="L116" s="352" t="s">
        <v>842</v>
      </c>
      <c r="M116" s="364" t="str">
        <f>IF(F116="gestion","impacto",IF(F116="corrupcion","impactocorrupcion",IF(F116="seguridad_de_la_informacion","impacto","")))</f>
        <v>impacto</v>
      </c>
      <c r="N116" s="361" t="s">
        <v>19</v>
      </c>
      <c r="O116" s="361" t="s">
        <v>24</v>
      </c>
      <c r="P116" s="364" t="str">
        <f>N116&amp;O116</f>
        <v>ProbableMayor</v>
      </c>
      <c r="Q116" s="370" t="str">
        <f>IFERROR(VLOOKUP(P116,[13]FORMULAS!$B$37:$C$61,2,FALSE),"")</f>
        <v>Riesgo extremo</v>
      </c>
      <c r="R116" s="405" t="s">
        <v>843</v>
      </c>
      <c r="S116" s="405"/>
      <c r="T116" s="112" t="s">
        <v>286</v>
      </c>
      <c r="U116" s="113">
        <f>IF(T116="Asignado",15,0)</f>
        <v>15</v>
      </c>
      <c r="V116" s="112" t="s">
        <v>287</v>
      </c>
      <c r="W116" s="113">
        <f>IF(V116="Adecuado",15,0)</f>
        <v>15</v>
      </c>
      <c r="X116" s="112" t="s">
        <v>288</v>
      </c>
      <c r="Y116" s="113">
        <f>IF(X116="Oportuna",15,0)</f>
        <v>15</v>
      </c>
      <c r="Z116" s="112" t="s">
        <v>291</v>
      </c>
      <c r="AA116" s="113">
        <f>IF(Z116="Prevenir",15,IF(Z116="Detectar",10,0))</f>
        <v>15</v>
      </c>
      <c r="AB116" s="112" t="s">
        <v>290</v>
      </c>
      <c r="AC116" s="113">
        <f>IF(AB116="Confiable",15,0)</f>
        <v>15</v>
      </c>
      <c r="AD116" s="112" t="s">
        <v>292</v>
      </c>
      <c r="AE116" s="113">
        <f>IF(AD116="Se investigan y resuelven oportunamente",15,0)</f>
        <v>15</v>
      </c>
      <c r="AF116" s="112" t="s">
        <v>289</v>
      </c>
      <c r="AG116" s="113">
        <f>IF(AF116="Completa",10,IF(AF116="incompleta",5,0))</f>
        <v>10</v>
      </c>
      <c r="AH116" s="116">
        <f t="shared" si="283"/>
        <v>100</v>
      </c>
      <c r="AI116" s="116" t="str">
        <f>IF(AH116&gt;=96,"Fuerte",IF(AH116&gt;=86,"Moderado",IF(AH116&gt;=1,"Débil","")))</f>
        <v>Fuerte</v>
      </c>
      <c r="AJ116" s="117" t="s">
        <v>293</v>
      </c>
      <c r="AK116" s="116" t="str">
        <f>IF(AJ116="Siempre se ejecuta","Fuerte",IF(AJ116="Algunas veces","Moderado",IF(AJ116="no se ejecuta","Débil","")))</f>
        <v>Fuerte</v>
      </c>
      <c r="AL116" s="116" t="str">
        <f>AI116&amp;AK116</f>
        <v>FuerteFuerte</v>
      </c>
      <c r="AM116" s="116" t="str">
        <f>IFERROR(VLOOKUP(AL116,[13]FORMULAS!$B$69:$D$77,3,FALSE),"")</f>
        <v>Fuerte</v>
      </c>
      <c r="AN116" s="116">
        <f>IF(AM116="fuerte",100,IF(AM116="Moderado",50,IF(AM116="débil",0,"")))</f>
        <v>100</v>
      </c>
      <c r="AO116" s="116" t="s">
        <v>29</v>
      </c>
      <c r="AP116" s="358">
        <f>IFERROR(AVERAGE(AN116:AN119),0)</f>
        <v>75</v>
      </c>
      <c r="AQ116" s="358" t="str">
        <f>IF(AP116&gt;=100,"Fuerte",IF(AP116&gt;=50,"Moderado",IF(AP116&gt;=1,"Débil","")))</f>
        <v>Moderado</v>
      </c>
      <c r="AR116" s="355" t="s">
        <v>160</v>
      </c>
      <c r="AS116" s="355" t="s">
        <v>160</v>
      </c>
      <c r="AT116" s="358" t="str">
        <f>+AQ116&amp;AR116&amp;AS116</f>
        <v>ModeradoDirectamenteDirectamente</v>
      </c>
      <c r="AU116" s="358">
        <f>IFERROR(VLOOKUP(AT116,[13]FORMULAS!$B$94:$D$101,2,FALSE),0)</f>
        <v>1</v>
      </c>
      <c r="AV116" s="358">
        <f>IFERROR(VLOOKUP(AT116,[13]FORMULAS!$B$94:$D$101,3,FALSE),0)</f>
        <v>1</v>
      </c>
      <c r="AW116" s="361" t="s">
        <v>18</v>
      </c>
      <c r="AX116" s="361" t="s">
        <v>23</v>
      </c>
      <c r="AY116" s="364" t="str">
        <f>AW116&amp;AX116</f>
        <v>PosibleModerado</v>
      </c>
      <c r="AZ116" s="367" t="str">
        <f>IFERROR(VLOOKUP(AY116,[13]FORMULAS!$B$37:$C$61,2,FALSE),"")</f>
        <v>Riesgo alto</v>
      </c>
      <c r="BA116" s="370" t="s">
        <v>167</v>
      </c>
      <c r="BB116" s="296" t="s">
        <v>846</v>
      </c>
      <c r="BC116" s="153" t="s">
        <v>847</v>
      </c>
      <c r="BD116" s="153" t="s">
        <v>808</v>
      </c>
      <c r="BE116" s="160">
        <v>43646</v>
      </c>
      <c r="BF116" s="350"/>
      <c r="BG116" s="333" t="s">
        <v>850</v>
      </c>
      <c r="BH116" s="119" t="s">
        <v>851</v>
      </c>
      <c r="BI116" s="119" t="s">
        <v>852</v>
      </c>
      <c r="BJ116" s="154" t="s">
        <v>853</v>
      </c>
    </row>
    <row r="117" spans="2:62" s="86" customFormat="1" ht="72" x14ac:dyDescent="0.25">
      <c r="B117" s="408"/>
      <c r="C117" s="482"/>
      <c r="D117" s="406"/>
      <c r="E117" s="374"/>
      <c r="F117" s="362"/>
      <c r="G117" s="362"/>
      <c r="H117" s="374"/>
      <c r="I117" s="380"/>
      <c r="J117" s="380"/>
      <c r="K117" s="121" t="s">
        <v>844</v>
      </c>
      <c r="L117" s="353"/>
      <c r="M117" s="365"/>
      <c r="N117" s="362"/>
      <c r="O117" s="362"/>
      <c r="P117" s="365"/>
      <c r="Q117" s="371"/>
      <c r="R117" s="406" t="s">
        <v>845</v>
      </c>
      <c r="S117" s="406"/>
      <c r="T117" s="102" t="s">
        <v>286</v>
      </c>
      <c r="U117" s="106">
        <f t="shared" ref="U117:U119" si="295">IF(T117="Asignado",15,0)</f>
        <v>15</v>
      </c>
      <c r="V117" s="102" t="s">
        <v>287</v>
      </c>
      <c r="W117" s="106">
        <f t="shared" ref="W117:W119" si="296">IF(V117="Adecuado",15,0)</f>
        <v>15</v>
      </c>
      <c r="X117" s="102" t="s">
        <v>288</v>
      </c>
      <c r="Y117" s="106">
        <f t="shared" ref="Y117:Y119" si="297">IF(X117="Oportuna",15,0)</f>
        <v>15</v>
      </c>
      <c r="Z117" s="102" t="s">
        <v>291</v>
      </c>
      <c r="AA117" s="106">
        <f t="shared" ref="AA117:AA119" si="298">IF(Z117="Prevenir",15,IF(Z117="Detectar",10,0))</f>
        <v>15</v>
      </c>
      <c r="AB117" s="102" t="s">
        <v>290</v>
      </c>
      <c r="AC117" s="106">
        <f t="shared" ref="AC117:AC119" si="299">IF(AB117="Confiable",15,0)</f>
        <v>15</v>
      </c>
      <c r="AD117" s="102" t="s">
        <v>292</v>
      </c>
      <c r="AE117" s="106">
        <f t="shared" ref="AE117:AE119" si="300">IF(AD117="Se investigan y resuelven oportunamente",15,0)</f>
        <v>15</v>
      </c>
      <c r="AF117" s="102" t="s">
        <v>376</v>
      </c>
      <c r="AG117" s="106">
        <f t="shared" ref="AG117:AG119" si="301">IF(AF117="Completa",10,IF(AF117="incompleta",5,0))</f>
        <v>5</v>
      </c>
      <c r="AH117" s="105">
        <f t="shared" si="283"/>
        <v>95</v>
      </c>
      <c r="AI117" s="105" t="str">
        <f>IF(AH117&gt;=96,"Fuerte",IF(AH117&gt;=86,"Moderado",IF(AH117&gt;=1,"Débil","")))</f>
        <v>Moderado</v>
      </c>
      <c r="AJ117" s="107" t="s">
        <v>293</v>
      </c>
      <c r="AK117" s="105" t="str">
        <f t="shared" ref="AK117:AK119" si="302">IF(AJ117="Siempre se ejecuta","Fuerte",IF(AJ117="Algunas veces","Moderado",IF(AJ117="no se ejecuta","Débil","")))</f>
        <v>Fuerte</v>
      </c>
      <c r="AL117" s="105" t="str">
        <f t="shared" ref="AL117:AL119" si="303">AI117&amp;AK117</f>
        <v>ModeradoFuerte</v>
      </c>
      <c r="AM117" s="105" t="str">
        <f>IFERROR(VLOOKUP(AL117,[13]FORMULAS!$B$69:$D$77,3,FALSE),"")</f>
        <v>Moderado</v>
      </c>
      <c r="AN117" s="105">
        <f t="shared" ref="AN117:AN119" si="304">IF(AM117="fuerte",100,IF(AM117="Moderado",50,IF(AM117="débil",0,"")))</f>
        <v>50</v>
      </c>
      <c r="AO117" s="105" t="s">
        <v>29</v>
      </c>
      <c r="AP117" s="359"/>
      <c r="AQ117" s="359"/>
      <c r="AR117" s="356"/>
      <c r="AS117" s="356"/>
      <c r="AT117" s="359"/>
      <c r="AU117" s="359"/>
      <c r="AV117" s="359"/>
      <c r="AW117" s="362"/>
      <c r="AX117" s="362"/>
      <c r="AY117" s="365"/>
      <c r="AZ117" s="368"/>
      <c r="BA117" s="371"/>
      <c r="BB117" s="252" t="s">
        <v>848</v>
      </c>
      <c r="BC117" s="152" t="s">
        <v>849</v>
      </c>
      <c r="BD117" s="152" t="s">
        <v>815</v>
      </c>
      <c r="BE117" s="83">
        <v>43768</v>
      </c>
      <c r="BF117" s="350"/>
      <c r="BG117" s="334"/>
      <c r="BH117" s="84" t="s">
        <v>851</v>
      </c>
      <c r="BI117" s="84" t="s">
        <v>852</v>
      </c>
      <c r="BJ117" s="155" t="s">
        <v>819</v>
      </c>
    </row>
    <row r="118" spans="2:62" s="86" customFormat="1" ht="12" x14ac:dyDescent="0.25">
      <c r="B118" s="408"/>
      <c r="C118" s="482"/>
      <c r="D118" s="406"/>
      <c r="E118" s="374"/>
      <c r="F118" s="362"/>
      <c r="G118" s="362"/>
      <c r="H118" s="374"/>
      <c r="I118" s="380"/>
      <c r="J118" s="380"/>
      <c r="K118" s="121"/>
      <c r="L118" s="353"/>
      <c r="M118" s="365"/>
      <c r="N118" s="362"/>
      <c r="O118" s="362"/>
      <c r="P118" s="365"/>
      <c r="Q118" s="371"/>
      <c r="R118" s="374"/>
      <c r="S118" s="374"/>
      <c r="T118" s="102"/>
      <c r="U118" s="106">
        <f t="shared" si="295"/>
        <v>0</v>
      </c>
      <c r="V118" s="102"/>
      <c r="W118" s="106">
        <f t="shared" si="296"/>
        <v>0</v>
      </c>
      <c r="X118" s="102"/>
      <c r="Y118" s="106">
        <f t="shared" si="297"/>
        <v>0</v>
      </c>
      <c r="Z118" s="102"/>
      <c r="AA118" s="106">
        <f t="shared" si="298"/>
        <v>0</v>
      </c>
      <c r="AB118" s="102"/>
      <c r="AC118" s="106">
        <f t="shared" si="299"/>
        <v>0</v>
      </c>
      <c r="AD118" s="102"/>
      <c r="AE118" s="106">
        <f t="shared" si="300"/>
        <v>0</v>
      </c>
      <c r="AF118" s="102"/>
      <c r="AG118" s="106">
        <f t="shared" si="301"/>
        <v>0</v>
      </c>
      <c r="AH118" s="105">
        <f t="shared" si="283"/>
        <v>0</v>
      </c>
      <c r="AI118" s="105" t="str">
        <f t="shared" ref="AI118:AI119" si="305">IF(AH118&gt;=96,"Fuerte",IF(AH118&gt;=86,"Moderado",IF(AH118&gt;=1,"Débil","")))</f>
        <v/>
      </c>
      <c r="AJ118" s="107"/>
      <c r="AK118" s="105" t="str">
        <f t="shared" si="302"/>
        <v/>
      </c>
      <c r="AL118" s="105" t="str">
        <f t="shared" si="303"/>
        <v/>
      </c>
      <c r="AM118" s="105" t="str">
        <f>IFERROR(VLOOKUP(AL118,[13]FORMULAS!$B$69:$D$77,3,FALSE),"")</f>
        <v/>
      </c>
      <c r="AN118" s="105" t="str">
        <f t="shared" si="304"/>
        <v/>
      </c>
      <c r="AO118" s="105" t="str">
        <f>IFERROR(VLOOKUP(AL118,[13]FORMULAS!$B$69:$C$77,2,FALSE),"")</f>
        <v/>
      </c>
      <c r="AP118" s="359"/>
      <c r="AQ118" s="359"/>
      <c r="AR118" s="356"/>
      <c r="AS118" s="356"/>
      <c r="AT118" s="359"/>
      <c r="AU118" s="359"/>
      <c r="AV118" s="359"/>
      <c r="AW118" s="362"/>
      <c r="AX118" s="362"/>
      <c r="AY118" s="365"/>
      <c r="AZ118" s="368"/>
      <c r="BA118" s="371"/>
      <c r="BB118" s="152"/>
      <c r="BC118" s="82"/>
      <c r="BD118" s="82"/>
      <c r="BE118" s="83"/>
      <c r="BF118" s="350"/>
      <c r="BG118" s="334"/>
      <c r="BH118" s="82"/>
      <c r="BI118" s="82"/>
      <c r="BJ118" s="155"/>
    </row>
    <row r="119" spans="2:62" s="86" customFormat="1" ht="20.100000000000001" customHeight="1" thickBot="1" x14ac:dyDescent="0.3">
      <c r="B119" s="409"/>
      <c r="C119" s="489"/>
      <c r="D119" s="490"/>
      <c r="E119" s="375"/>
      <c r="F119" s="363"/>
      <c r="G119" s="363"/>
      <c r="H119" s="375"/>
      <c r="I119" s="381"/>
      <c r="J119" s="381"/>
      <c r="K119" s="124"/>
      <c r="L119" s="354"/>
      <c r="M119" s="366"/>
      <c r="N119" s="363"/>
      <c r="O119" s="363"/>
      <c r="P119" s="366"/>
      <c r="Q119" s="372"/>
      <c r="R119" s="375"/>
      <c r="S119" s="375"/>
      <c r="T119" s="125"/>
      <c r="U119" s="126">
        <f t="shared" si="295"/>
        <v>0</v>
      </c>
      <c r="V119" s="125"/>
      <c r="W119" s="126">
        <f t="shared" si="296"/>
        <v>0</v>
      </c>
      <c r="X119" s="125"/>
      <c r="Y119" s="126">
        <f t="shared" si="297"/>
        <v>0</v>
      </c>
      <c r="Z119" s="125"/>
      <c r="AA119" s="126">
        <f t="shared" si="298"/>
        <v>0</v>
      </c>
      <c r="AB119" s="125"/>
      <c r="AC119" s="126">
        <f t="shared" si="299"/>
        <v>0</v>
      </c>
      <c r="AD119" s="125"/>
      <c r="AE119" s="126">
        <f t="shared" si="300"/>
        <v>0</v>
      </c>
      <c r="AF119" s="125"/>
      <c r="AG119" s="126">
        <f t="shared" si="301"/>
        <v>0</v>
      </c>
      <c r="AH119" s="129">
        <f t="shared" si="283"/>
        <v>0</v>
      </c>
      <c r="AI119" s="129" t="str">
        <f t="shared" si="305"/>
        <v/>
      </c>
      <c r="AJ119" s="130"/>
      <c r="AK119" s="129" t="str">
        <f t="shared" si="302"/>
        <v/>
      </c>
      <c r="AL119" s="129" t="str">
        <f t="shared" si="303"/>
        <v/>
      </c>
      <c r="AM119" s="129" t="str">
        <f>IFERROR(VLOOKUP(AL119,[13]FORMULAS!$B$69:$D$77,3,FALSE),"")</f>
        <v/>
      </c>
      <c r="AN119" s="129" t="str">
        <f t="shared" si="304"/>
        <v/>
      </c>
      <c r="AO119" s="129" t="str">
        <f>IFERROR(VLOOKUP(AL119,[13]FORMULAS!$B$69:$C$77,2,FALSE),"")</f>
        <v/>
      </c>
      <c r="AP119" s="360"/>
      <c r="AQ119" s="360"/>
      <c r="AR119" s="357"/>
      <c r="AS119" s="357"/>
      <c r="AT119" s="360"/>
      <c r="AU119" s="360"/>
      <c r="AV119" s="360"/>
      <c r="AW119" s="363"/>
      <c r="AX119" s="363"/>
      <c r="AY119" s="366"/>
      <c r="AZ119" s="369"/>
      <c r="BA119" s="372"/>
      <c r="BB119" s="131"/>
      <c r="BC119" s="132"/>
      <c r="BD119" s="132"/>
      <c r="BE119" s="161"/>
      <c r="BF119" s="350"/>
      <c r="BG119" s="335"/>
      <c r="BH119" s="132"/>
      <c r="BI119" s="132"/>
      <c r="BJ119" s="156"/>
    </row>
    <row r="120" spans="2:62" s="86" customFormat="1" ht="60" x14ac:dyDescent="0.25">
      <c r="B120" s="407" t="s">
        <v>79</v>
      </c>
      <c r="C120" s="481">
        <v>31</v>
      </c>
      <c r="D120" s="405" t="s">
        <v>854</v>
      </c>
      <c r="E120" s="373" t="s">
        <v>855</v>
      </c>
      <c r="F120" s="361" t="s">
        <v>89</v>
      </c>
      <c r="G120" s="361" t="s">
        <v>96</v>
      </c>
      <c r="H120" s="373" t="s">
        <v>329</v>
      </c>
      <c r="I120" s="379" t="s">
        <v>129</v>
      </c>
      <c r="J120" s="379" t="s">
        <v>117</v>
      </c>
      <c r="K120" s="109" t="s">
        <v>856</v>
      </c>
      <c r="L120" s="352" t="s">
        <v>824</v>
      </c>
      <c r="M120" s="364" t="str">
        <f>IF(F120="gestion","impacto",IF(F120="corrupcion","impactocorrupcion",IF(F120="seguridad_de_la_informacion","impacto","")))</f>
        <v>impacto</v>
      </c>
      <c r="N120" s="361" t="s">
        <v>19</v>
      </c>
      <c r="O120" s="361" t="s">
        <v>23</v>
      </c>
      <c r="P120" s="364" t="str">
        <f>N120&amp;O120</f>
        <v>ProbableModerado</v>
      </c>
      <c r="Q120" s="370" t="str">
        <f>IFERROR(VLOOKUP(P120,[13]FORMULAS!$B$37:$C$61,2,FALSE),"")</f>
        <v>Riesgo alto</v>
      </c>
      <c r="R120" s="405" t="s">
        <v>857</v>
      </c>
      <c r="S120" s="405"/>
      <c r="T120" s="112" t="s">
        <v>286</v>
      </c>
      <c r="U120" s="113">
        <f>IF(T120="Asignado",15,0)</f>
        <v>15</v>
      </c>
      <c r="V120" s="112" t="s">
        <v>287</v>
      </c>
      <c r="W120" s="113">
        <f>IF(V120="Adecuado",15,0)</f>
        <v>15</v>
      </c>
      <c r="X120" s="112" t="s">
        <v>288</v>
      </c>
      <c r="Y120" s="113">
        <f>IF(X120="Oportuna",15,0)</f>
        <v>15</v>
      </c>
      <c r="Z120" s="112" t="s">
        <v>291</v>
      </c>
      <c r="AA120" s="113">
        <f>IF(Z120="Prevenir",15,IF(Z120="Detectar",10,0))</f>
        <v>15</v>
      </c>
      <c r="AB120" s="112" t="s">
        <v>290</v>
      </c>
      <c r="AC120" s="113">
        <f>IF(AB120="Confiable",15,0)</f>
        <v>15</v>
      </c>
      <c r="AD120" s="112" t="s">
        <v>292</v>
      </c>
      <c r="AE120" s="113">
        <f>IF(AD120="Se investigan y resuelven oportunamente",15,0)</f>
        <v>15</v>
      </c>
      <c r="AF120" s="112" t="s">
        <v>289</v>
      </c>
      <c r="AG120" s="113">
        <f>IF(AF120="Completa",10,IF(AF120="incompleta",5,0))</f>
        <v>10</v>
      </c>
      <c r="AH120" s="116">
        <f t="shared" si="283"/>
        <v>100</v>
      </c>
      <c r="AI120" s="116" t="str">
        <f>IF(AH120&gt;=96,"Fuerte",IF(AH120&gt;=86,"Moderado",IF(AH120&gt;=1,"Débil","")))</f>
        <v>Fuerte</v>
      </c>
      <c r="AJ120" s="117" t="s">
        <v>293</v>
      </c>
      <c r="AK120" s="116" t="str">
        <f>IF(AJ120="Siempre se ejecuta","Fuerte",IF(AJ120="Algunas veces","Moderado",IF(AJ120="no se ejecuta","Débil","")))</f>
        <v>Fuerte</v>
      </c>
      <c r="AL120" s="116" t="str">
        <f>AI120&amp;AK120</f>
        <v>FuerteFuerte</v>
      </c>
      <c r="AM120" s="116" t="str">
        <f>IFERROR(VLOOKUP(AL120,[13]FORMULAS!$B$69:$D$77,3,FALSE),"")</f>
        <v>Fuerte</v>
      </c>
      <c r="AN120" s="116">
        <f>IF(AM120="fuerte",100,IF(AM120="Moderado",50,IF(AM120="débil",0,"")))</f>
        <v>100</v>
      </c>
      <c r="AO120" s="116" t="str">
        <f>IFERROR(VLOOKUP(AL120,[13]FORMULAS!$B$69:$D$77,2,FALSE),"")</f>
        <v>No</v>
      </c>
      <c r="AP120" s="358">
        <f>IFERROR(AVERAGE(AN120:AN123),0)</f>
        <v>100</v>
      </c>
      <c r="AQ120" s="358" t="str">
        <f>IF(AP120&gt;=100,"Fuerte",IF(AP120&gt;=50,"Moderado",IF(AP120&gt;=1,"Débil","")))</f>
        <v>Fuerte</v>
      </c>
      <c r="AR120" s="355" t="s">
        <v>160</v>
      </c>
      <c r="AS120" s="355" t="s">
        <v>160</v>
      </c>
      <c r="AT120" s="358" t="str">
        <f>+AQ120&amp;AR120&amp;AS120</f>
        <v>FuerteDirectamenteDirectamente</v>
      </c>
      <c r="AU120" s="358">
        <f>IFERROR(VLOOKUP(AT120,[13]FORMULAS!$B$94:$D$101,2,FALSE),0)</f>
        <v>2</v>
      </c>
      <c r="AV120" s="358">
        <f>IFERROR(VLOOKUP(AT120,[13]FORMULAS!$B$94:$D$101,3,FALSE),0)</f>
        <v>2</v>
      </c>
      <c r="AW120" s="361" t="s">
        <v>17</v>
      </c>
      <c r="AX120" s="361" t="s">
        <v>21</v>
      </c>
      <c r="AY120" s="364" t="str">
        <f>AW120&amp;AX120</f>
        <v>ImprobableInsignificante</v>
      </c>
      <c r="AZ120" s="367" t="str">
        <f>IFERROR(VLOOKUP(AY120,[13]FORMULAS!$B$37:$C$61,2,FALSE),"")</f>
        <v>Riesgo bajo</v>
      </c>
      <c r="BA120" s="370" t="s">
        <v>166</v>
      </c>
      <c r="BB120" s="298" t="s">
        <v>862</v>
      </c>
      <c r="BC120" s="296" t="s">
        <v>863</v>
      </c>
      <c r="BD120" s="235" t="s">
        <v>864</v>
      </c>
      <c r="BE120" s="181">
        <v>43800</v>
      </c>
      <c r="BF120" s="350"/>
      <c r="BG120" s="153" t="s">
        <v>870</v>
      </c>
      <c r="BH120" s="119" t="s">
        <v>871</v>
      </c>
      <c r="BI120" s="119" t="s">
        <v>872</v>
      </c>
      <c r="BJ120" s="154" t="s">
        <v>873</v>
      </c>
    </row>
    <row r="121" spans="2:62" s="86" customFormat="1" ht="72" x14ac:dyDescent="0.25">
      <c r="B121" s="408"/>
      <c r="C121" s="482"/>
      <c r="D121" s="406"/>
      <c r="E121" s="374"/>
      <c r="F121" s="362"/>
      <c r="G121" s="362"/>
      <c r="H121" s="374"/>
      <c r="I121" s="380"/>
      <c r="J121" s="380"/>
      <c r="K121" s="121" t="s">
        <v>858</v>
      </c>
      <c r="L121" s="353"/>
      <c r="M121" s="365"/>
      <c r="N121" s="362"/>
      <c r="O121" s="362"/>
      <c r="P121" s="365"/>
      <c r="Q121" s="371"/>
      <c r="R121" s="406" t="s">
        <v>859</v>
      </c>
      <c r="S121" s="406"/>
      <c r="T121" s="102" t="s">
        <v>286</v>
      </c>
      <c r="U121" s="106">
        <f t="shared" ref="U121:U123" si="306">IF(T121="Asignado",15,0)</f>
        <v>15</v>
      </c>
      <c r="V121" s="102" t="s">
        <v>287</v>
      </c>
      <c r="W121" s="106">
        <f t="shared" ref="W121:W123" si="307">IF(V121="Adecuado",15,0)</f>
        <v>15</v>
      </c>
      <c r="X121" s="102" t="s">
        <v>288</v>
      </c>
      <c r="Y121" s="106">
        <f t="shared" ref="Y121:Y123" si="308">IF(X121="Oportuna",15,0)</f>
        <v>15</v>
      </c>
      <c r="Z121" s="102" t="s">
        <v>291</v>
      </c>
      <c r="AA121" s="106">
        <f t="shared" ref="AA121:AA123" si="309">IF(Z121="Prevenir",15,IF(Z121="Detectar",10,0))</f>
        <v>15</v>
      </c>
      <c r="AB121" s="102" t="s">
        <v>290</v>
      </c>
      <c r="AC121" s="106">
        <f t="shared" ref="AC121:AC123" si="310">IF(AB121="Confiable",15,0)</f>
        <v>15</v>
      </c>
      <c r="AD121" s="102" t="s">
        <v>292</v>
      </c>
      <c r="AE121" s="106">
        <f t="shared" ref="AE121:AE123" si="311">IF(AD121="Se investigan y resuelven oportunamente",15,0)</f>
        <v>15</v>
      </c>
      <c r="AF121" s="102" t="s">
        <v>289</v>
      </c>
      <c r="AG121" s="106">
        <f t="shared" ref="AG121:AG123" si="312">IF(AF121="Completa",10,IF(AF121="incompleta",5,0))</f>
        <v>10</v>
      </c>
      <c r="AH121" s="105">
        <f t="shared" si="283"/>
        <v>100</v>
      </c>
      <c r="AI121" s="105" t="str">
        <f>IF(AH121&gt;=96,"Fuerte",IF(AH121&gt;=86,"Moderado",IF(AH121&gt;=1,"Débil","")))</f>
        <v>Fuerte</v>
      </c>
      <c r="AJ121" s="107" t="s">
        <v>293</v>
      </c>
      <c r="AK121" s="105" t="str">
        <f t="shared" ref="AK121:AK123" si="313">IF(AJ121="Siempre se ejecuta","Fuerte",IF(AJ121="Algunas veces","Moderado",IF(AJ121="no se ejecuta","Débil","")))</f>
        <v>Fuerte</v>
      </c>
      <c r="AL121" s="105" t="str">
        <f t="shared" ref="AL121:AL123" si="314">AI121&amp;AK121</f>
        <v>FuerteFuerte</v>
      </c>
      <c r="AM121" s="105" t="str">
        <f>IFERROR(VLOOKUP(AL121,[13]FORMULAS!$B$69:$D$77,3,FALSE),"")</f>
        <v>Fuerte</v>
      </c>
      <c r="AN121" s="105">
        <f t="shared" ref="AN121:AN123" si="315">IF(AM121="fuerte",100,IF(AM121="Moderado",50,IF(AM121="débil",0,"")))</f>
        <v>100</v>
      </c>
      <c r="AO121" s="105" t="str">
        <f>IFERROR(VLOOKUP(AL121,[13]FORMULAS!$B$69:$C$77,2,FALSE),"")</f>
        <v>No</v>
      </c>
      <c r="AP121" s="359"/>
      <c r="AQ121" s="359"/>
      <c r="AR121" s="356"/>
      <c r="AS121" s="356"/>
      <c r="AT121" s="359"/>
      <c r="AU121" s="359"/>
      <c r="AV121" s="359"/>
      <c r="AW121" s="362"/>
      <c r="AX121" s="362"/>
      <c r="AY121" s="365"/>
      <c r="AZ121" s="368"/>
      <c r="BA121" s="371"/>
      <c r="BB121" s="152" t="s">
        <v>865</v>
      </c>
      <c r="BC121" s="152" t="s">
        <v>866</v>
      </c>
      <c r="BD121" s="84" t="s">
        <v>867</v>
      </c>
      <c r="BE121" s="83">
        <v>43800</v>
      </c>
      <c r="BF121" s="350"/>
      <c r="BG121" s="152"/>
      <c r="BH121" s="82"/>
      <c r="BI121" s="82"/>
      <c r="BJ121" s="155"/>
    </row>
    <row r="122" spans="2:62" s="86" customFormat="1" ht="36" x14ac:dyDescent="0.25">
      <c r="B122" s="408"/>
      <c r="C122" s="482"/>
      <c r="D122" s="406"/>
      <c r="E122" s="374"/>
      <c r="F122" s="362"/>
      <c r="G122" s="362"/>
      <c r="H122" s="374"/>
      <c r="I122" s="380"/>
      <c r="J122" s="380"/>
      <c r="K122" s="121" t="s">
        <v>860</v>
      </c>
      <c r="L122" s="383"/>
      <c r="M122" s="365"/>
      <c r="N122" s="362"/>
      <c r="O122" s="362"/>
      <c r="P122" s="365"/>
      <c r="Q122" s="371"/>
      <c r="R122" s="488" t="s">
        <v>861</v>
      </c>
      <c r="S122" s="488"/>
      <c r="T122" s="102" t="s">
        <v>286</v>
      </c>
      <c r="U122" s="106">
        <f t="shared" si="306"/>
        <v>15</v>
      </c>
      <c r="V122" s="102" t="s">
        <v>287</v>
      </c>
      <c r="W122" s="106">
        <f t="shared" si="307"/>
        <v>15</v>
      </c>
      <c r="X122" s="102" t="s">
        <v>288</v>
      </c>
      <c r="Y122" s="106">
        <f t="shared" si="308"/>
        <v>15</v>
      </c>
      <c r="Z122" s="102" t="s">
        <v>291</v>
      </c>
      <c r="AA122" s="106">
        <f t="shared" si="309"/>
        <v>15</v>
      </c>
      <c r="AB122" s="102" t="s">
        <v>290</v>
      </c>
      <c r="AC122" s="106">
        <f t="shared" si="310"/>
        <v>15</v>
      </c>
      <c r="AD122" s="102" t="s">
        <v>292</v>
      </c>
      <c r="AE122" s="106">
        <f t="shared" si="311"/>
        <v>15</v>
      </c>
      <c r="AF122" s="102" t="s">
        <v>289</v>
      </c>
      <c r="AG122" s="106">
        <f t="shared" si="312"/>
        <v>10</v>
      </c>
      <c r="AH122" s="105">
        <f t="shared" si="283"/>
        <v>100</v>
      </c>
      <c r="AI122" s="105" t="str">
        <f t="shared" ref="AI122:AI123" si="316">IF(AH122&gt;=96,"Fuerte",IF(AH122&gt;=86,"Moderado",IF(AH122&gt;=1,"Débil","")))</f>
        <v>Fuerte</v>
      </c>
      <c r="AJ122" s="107" t="s">
        <v>293</v>
      </c>
      <c r="AK122" s="105" t="str">
        <f t="shared" si="313"/>
        <v>Fuerte</v>
      </c>
      <c r="AL122" s="105" t="str">
        <f t="shared" si="314"/>
        <v>FuerteFuerte</v>
      </c>
      <c r="AM122" s="105" t="str">
        <f>IFERROR(VLOOKUP(AL122,[13]FORMULAS!$B$69:$D$77,3,FALSE),"")</f>
        <v>Fuerte</v>
      </c>
      <c r="AN122" s="105">
        <f t="shared" si="315"/>
        <v>100</v>
      </c>
      <c r="AO122" s="105" t="str">
        <f>IFERROR(VLOOKUP(AL122,[13]FORMULAS!$B$69:$C$77,2,FALSE),"")</f>
        <v>No</v>
      </c>
      <c r="AP122" s="359"/>
      <c r="AQ122" s="359"/>
      <c r="AR122" s="356"/>
      <c r="AS122" s="356"/>
      <c r="AT122" s="359"/>
      <c r="AU122" s="359"/>
      <c r="AV122" s="359"/>
      <c r="AW122" s="362"/>
      <c r="AX122" s="362"/>
      <c r="AY122" s="365"/>
      <c r="AZ122" s="368"/>
      <c r="BA122" s="371"/>
      <c r="BB122" s="152" t="s">
        <v>868</v>
      </c>
      <c r="BC122" s="84" t="s">
        <v>830</v>
      </c>
      <c r="BD122" s="84" t="s">
        <v>869</v>
      </c>
      <c r="BE122" s="83">
        <v>43800</v>
      </c>
      <c r="BF122" s="350"/>
      <c r="BG122" s="84"/>
      <c r="BH122" s="82"/>
      <c r="BI122" s="82"/>
      <c r="BJ122" s="155"/>
    </row>
    <row r="123" spans="2:62" s="86" customFormat="1" ht="20.100000000000001" customHeight="1" thickBot="1" x14ac:dyDescent="0.3">
      <c r="B123" s="409"/>
      <c r="C123" s="489"/>
      <c r="D123" s="490"/>
      <c r="E123" s="375"/>
      <c r="F123" s="363"/>
      <c r="G123" s="363"/>
      <c r="H123" s="375"/>
      <c r="I123" s="381"/>
      <c r="J123" s="381"/>
      <c r="K123" s="124"/>
      <c r="L123" s="124"/>
      <c r="M123" s="366"/>
      <c r="N123" s="363"/>
      <c r="O123" s="363"/>
      <c r="P123" s="366"/>
      <c r="Q123" s="372"/>
      <c r="R123" s="375"/>
      <c r="S123" s="375"/>
      <c r="T123" s="125"/>
      <c r="U123" s="126">
        <f t="shared" si="306"/>
        <v>0</v>
      </c>
      <c r="V123" s="125"/>
      <c r="W123" s="126">
        <f t="shared" si="307"/>
        <v>0</v>
      </c>
      <c r="X123" s="125"/>
      <c r="Y123" s="126">
        <f t="shared" si="308"/>
        <v>0</v>
      </c>
      <c r="Z123" s="125"/>
      <c r="AA123" s="126">
        <f t="shared" si="309"/>
        <v>0</v>
      </c>
      <c r="AB123" s="125"/>
      <c r="AC123" s="126">
        <f t="shared" si="310"/>
        <v>0</v>
      </c>
      <c r="AD123" s="125"/>
      <c r="AE123" s="126">
        <f t="shared" si="311"/>
        <v>0</v>
      </c>
      <c r="AF123" s="125"/>
      <c r="AG123" s="126">
        <f t="shared" si="312"/>
        <v>0</v>
      </c>
      <c r="AH123" s="129">
        <f t="shared" si="283"/>
        <v>0</v>
      </c>
      <c r="AI123" s="129" t="str">
        <f t="shared" si="316"/>
        <v/>
      </c>
      <c r="AJ123" s="130"/>
      <c r="AK123" s="129" t="str">
        <f t="shared" si="313"/>
        <v/>
      </c>
      <c r="AL123" s="129" t="str">
        <f t="shared" si="314"/>
        <v/>
      </c>
      <c r="AM123" s="129" t="str">
        <f>IFERROR(VLOOKUP(AL123,[13]FORMULAS!$B$69:$D$77,3,FALSE),"")</f>
        <v/>
      </c>
      <c r="AN123" s="129" t="str">
        <f t="shared" si="315"/>
        <v/>
      </c>
      <c r="AO123" s="129" t="str">
        <f>IFERROR(VLOOKUP(AL123,[13]FORMULAS!$B$69:$C$77,2,FALSE),"")</f>
        <v/>
      </c>
      <c r="AP123" s="360"/>
      <c r="AQ123" s="360"/>
      <c r="AR123" s="357"/>
      <c r="AS123" s="357"/>
      <c r="AT123" s="360"/>
      <c r="AU123" s="360"/>
      <c r="AV123" s="360"/>
      <c r="AW123" s="363"/>
      <c r="AX123" s="363"/>
      <c r="AY123" s="366"/>
      <c r="AZ123" s="369"/>
      <c r="BA123" s="372"/>
      <c r="BB123" s="131"/>
      <c r="BC123" s="132"/>
      <c r="BD123" s="132"/>
      <c r="BE123" s="161"/>
      <c r="BF123" s="350"/>
      <c r="BG123" s="139"/>
      <c r="BH123" s="132"/>
      <c r="BI123" s="132"/>
      <c r="BJ123" s="156"/>
    </row>
    <row r="124" spans="2:62" s="86" customFormat="1" ht="96" x14ac:dyDescent="0.25">
      <c r="B124" s="407" t="s">
        <v>79</v>
      </c>
      <c r="C124" s="481">
        <v>32</v>
      </c>
      <c r="D124" s="405" t="s">
        <v>874</v>
      </c>
      <c r="E124" s="373" t="s">
        <v>875</v>
      </c>
      <c r="F124" s="361" t="s">
        <v>90</v>
      </c>
      <c r="G124" s="361" t="s">
        <v>98</v>
      </c>
      <c r="H124" s="373" t="s">
        <v>329</v>
      </c>
      <c r="I124" s="485"/>
      <c r="J124" s="485"/>
      <c r="K124" s="109" t="s">
        <v>876</v>
      </c>
      <c r="L124" s="468" t="s">
        <v>877</v>
      </c>
      <c r="M124" s="364" t="str">
        <f>IF(F124="gestion","impacto",IF(F124="corrupcion","impactocorrupcion",IF(F124="seguridad_de_la_informacion","impacto","")))</f>
        <v>impactocorrupcion</v>
      </c>
      <c r="N124" s="361" t="s">
        <v>134</v>
      </c>
      <c r="O124" s="361" t="s">
        <v>25</v>
      </c>
      <c r="P124" s="364" t="str">
        <f>N124&amp;O124</f>
        <v>Rara vezCatastrófico</v>
      </c>
      <c r="Q124" s="370" t="str">
        <f>IFERROR(VLOOKUP(P124,[13]FORMULAS!$B$37:$C$61,2,FALSE),"")</f>
        <v>Riesgo extremo</v>
      </c>
      <c r="R124" s="478" t="s">
        <v>878</v>
      </c>
      <c r="S124" s="478"/>
      <c r="T124" s="112" t="s">
        <v>286</v>
      </c>
      <c r="U124" s="113">
        <f>IF(T124="Asignado",15,0)</f>
        <v>15</v>
      </c>
      <c r="V124" s="112" t="s">
        <v>287</v>
      </c>
      <c r="W124" s="113">
        <f>IF(V124="Adecuado",15,0)</f>
        <v>15</v>
      </c>
      <c r="X124" s="112" t="s">
        <v>288</v>
      </c>
      <c r="Y124" s="113">
        <f>IF(X124="Oportuna",15,0)</f>
        <v>15</v>
      </c>
      <c r="Z124" s="112" t="s">
        <v>341</v>
      </c>
      <c r="AA124" s="113">
        <f>IF(Z124="Prevenir",15,IF(Z124="Detectar",10,0))</f>
        <v>10</v>
      </c>
      <c r="AB124" s="112" t="s">
        <v>290</v>
      </c>
      <c r="AC124" s="113">
        <f>IF(AB124="Confiable",15,0)</f>
        <v>15</v>
      </c>
      <c r="AD124" s="112" t="s">
        <v>292</v>
      </c>
      <c r="AE124" s="113">
        <f>IF(AD124="Se investigan y resuelven oportunamente",15,0)</f>
        <v>15</v>
      </c>
      <c r="AF124" s="112" t="s">
        <v>289</v>
      </c>
      <c r="AG124" s="113">
        <f>IF(AF124="Completa",10,IF(AF124="incompleta",5,0))</f>
        <v>10</v>
      </c>
      <c r="AH124" s="116">
        <f t="shared" si="283"/>
        <v>95</v>
      </c>
      <c r="AI124" s="116" t="str">
        <f>IF(AH124&gt;=96,"Fuerte",IF(AH124&gt;=86,"Moderado",IF(AH124&gt;=1,"Débil","")))</f>
        <v>Moderado</v>
      </c>
      <c r="AJ124" s="117" t="s">
        <v>293</v>
      </c>
      <c r="AK124" s="116" t="str">
        <f>IF(AJ124="Siempre se ejecuta","Fuerte",IF(AJ124="Algunas veces","Moderado",IF(AJ124="no se ejecuta","Débil","")))</f>
        <v>Fuerte</v>
      </c>
      <c r="AL124" s="116" t="str">
        <f>AI124&amp;AK124</f>
        <v>ModeradoFuerte</v>
      </c>
      <c r="AM124" s="116" t="str">
        <f>IFERROR(VLOOKUP(AL124,[13]FORMULAS!$B$69:$D$77,3,FALSE),"")</f>
        <v>Moderado</v>
      </c>
      <c r="AN124" s="116">
        <f>IF(AM124="fuerte",100,IF(AM124="Moderado",50,IF(AM124="débil",0,"")))</f>
        <v>50</v>
      </c>
      <c r="AO124" s="116" t="s">
        <v>29</v>
      </c>
      <c r="AP124" s="358">
        <f>IFERROR(AVERAGE(AN124:AN127),0)</f>
        <v>50</v>
      </c>
      <c r="AQ124" s="358" t="str">
        <f>IF(AP124&gt;=100,"Fuerte",IF(AP124&gt;=50,"Moderado",IF(AP124&gt;=1,"Débil","")))</f>
        <v>Moderado</v>
      </c>
      <c r="AR124" s="355" t="s">
        <v>160</v>
      </c>
      <c r="AS124" s="355" t="s">
        <v>160</v>
      </c>
      <c r="AT124" s="358" t="str">
        <f>+AQ124&amp;AR124&amp;AS124</f>
        <v>ModeradoDirectamenteDirectamente</v>
      </c>
      <c r="AU124" s="358">
        <f>IFERROR(VLOOKUP(AT124,[13]FORMULAS!$B$94:$D$101,2,FALSE),0)</f>
        <v>1</v>
      </c>
      <c r="AV124" s="358">
        <f>IFERROR(VLOOKUP(AT124,[13]FORMULAS!$B$94:$D$101,3,FALSE),0)</f>
        <v>1</v>
      </c>
      <c r="AW124" s="361" t="s">
        <v>134</v>
      </c>
      <c r="AX124" s="361" t="s">
        <v>24</v>
      </c>
      <c r="AY124" s="364" t="str">
        <f>AW124&amp;AX124</f>
        <v>Rara vezMayor</v>
      </c>
      <c r="AZ124" s="367" t="str">
        <f>IFERROR(VLOOKUP(AY124,[13]FORMULAS!$B$37:$C$61,2,FALSE),"")</f>
        <v>Riesgo alto</v>
      </c>
      <c r="BA124" s="370" t="s">
        <v>168</v>
      </c>
      <c r="BB124" s="140" t="s">
        <v>881</v>
      </c>
      <c r="BC124" s="153" t="s">
        <v>882</v>
      </c>
      <c r="BD124" s="119" t="s">
        <v>883</v>
      </c>
      <c r="BE124" s="160">
        <v>43800</v>
      </c>
      <c r="BF124" s="350"/>
      <c r="BG124" s="119" t="s">
        <v>885</v>
      </c>
      <c r="BH124" s="119" t="s">
        <v>871</v>
      </c>
      <c r="BI124" s="119" t="s">
        <v>872</v>
      </c>
      <c r="BJ124" s="154" t="s">
        <v>873</v>
      </c>
    </row>
    <row r="125" spans="2:62" s="86" customFormat="1" ht="96" x14ac:dyDescent="0.25">
      <c r="B125" s="408"/>
      <c r="C125" s="482"/>
      <c r="D125" s="406"/>
      <c r="E125" s="374"/>
      <c r="F125" s="362"/>
      <c r="G125" s="362"/>
      <c r="H125" s="374"/>
      <c r="I125" s="486"/>
      <c r="J125" s="486"/>
      <c r="K125" s="121" t="s">
        <v>879</v>
      </c>
      <c r="L125" s="469"/>
      <c r="M125" s="365"/>
      <c r="N125" s="362"/>
      <c r="O125" s="362"/>
      <c r="P125" s="365"/>
      <c r="Q125" s="371"/>
      <c r="R125" s="479" t="s">
        <v>880</v>
      </c>
      <c r="S125" s="479"/>
      <c r="T125" s="102" t="s">
        <v>286</v>
      </c>
      <c r="U125" s="106">
        <f t="shared" ref="U125:U127" si="317">IF(T125="Asignado",15,0)</f>
        <v>15</v>
      </c>
      <c r="V125" s="102" t="s">
        <v>287</v>
      </c>
      <c r="W125" s="106">
        <f t="shared" ref="W125:W127" si="318">IF(V125="Adecuado",15,0)</f>
        <v>15</v>
      </c>
      <c r="X125" s="102" t="s">
        <v>288</v>
      </c>
      <c r="Y125" s="106">
        <f t="shared" ref="Y125:Y127" si="319">IF(X125="Oportuna",15,0)</f>
        <v>15</v>
      </c>
      <c r="Z125" s="102" t="s">
        <v>341</v>
      </c>
      <c r="AA125" s="106">
        <f t="shared" ref="AA125:AA127" si="320">IF(Z125="Prevenir",15,IF(Z125="Detectar",10,0))</f>
        <v>10</v>
      </c>
      <c r="AB125" s="102" t="s">
        <v>290</v>
      </c>
      <c r="AC125" s="106">
        <f t="shared" ref="AC125:AC127" si="321">IF(AB125="Confiable",15,0)</f>
        <v>15</v>
      </c>
      <c r="AD125" s="102" t="s">
        <v>292</v>
      </c>
      <c r="AE125" s="106">
        <f t="shared" ref="AE125:AE127" si="322">IF(AD125="Se investigan y resuelven oportunamente",15,0)</f>
        <v>15</v>
      </c>
      <c r="AF125" s="102" t="s">
        <v>289</v>
      </c>
      <c r="AG125" s="106">
        <f t="shared" ref="AG125:AG127" si="323">IF(AF125="Completa",10,IF(AF125="incompleta",5,0))</f>
        <v>10</v>
      </c>
      <c r="AH125" s="105">
        <f t="shared" si="283"/>
        <v>95</v>
      </c>
      <c r="AI125" s="105" t="str">
        <f>IF(AH125&gt;=96,"Fuerte",IF(AH125&gt;=86,"Moderado",IF(AH125&gt;=1,"Débil","")))</f>
        <v>Moderado</v>
      </c>
      <c r="AJ125" s="107" t="s">
        <v>293</v>
      </c>
      <c r="AK125" s="105" t="str">
        <f t="shared" ref="AK125:AK127" si="324">IF(AJ125="Siempre se ejecuta","Fuerte",IF(AJ125="Algunas veces","Moderado",IF(AJ125="no se ejecuta","Débil","")))</f>
        <v>Fuerte</v>
      </c>
      <c r="AL125" s="105" t="str">
        <f t="shared" ref="AL125:AL127" si="325">AI125&amp;AK125</f>
        <v>ModeradoFuerte</v>
      </c>
      <c r="AM125" s="105" t="str">
        <f>IFERROR(VLOOKUP(AL125,[13]FORMULAS!$B$69:$D$77,3,FALSE),"")</f>
        <v>Moderado</v>
      </c>
      <c r="AN125" s="105">
        <f t="shared" ref="AN125:AN127" si="326">IF(AM125="fuerte",100,IF(AM125="Moderado",50,IF(AM125="débil",0,"")))</f>
        <v>50</v>
      </c>
      <c r="AO125" s="105" t="s">
        <v>29</v>
      </c>
      <c r="AP125" s="359"/>
      <c r="AQ125" s="359"/>
      <c r="AR125" s="356"/>
      <c r="AS125" s="356"/>
      <c r="AT125" s="359"/>
      <c r="AU125" s="359"/>
      <c r="AV125" s="359"/>
      <c r="AW125" s="362"/>
      <c r="AX125" s="362"/>
      <c r="AY125" s="365"/>
      <c r="AZ125" s="368"/>
      <c r="BA125" s="371"/>
      <c r="BB125" s="141" t="s">
        <v>884</v>
      </c>
      <c r="BC125" s="152" t="s">
        <v>882</v>
      </c>
      <c r="BD125" s="84" t="s">
        <v>883</v>
      </c>
      <c r="BE125" s="83">
        <v>43800</v>
      </c>
      <c r="BF125" s="350"/>
      <c r="BG125" s="84"/>
      <c r="BH125" s="82"/>
      <c r="BI125" s="82"/>
      <c r="BJ125" s="155"/>
    </row>
    <row r="126" spans="2:62" s="86" customFormat="1" ht="12" x14ac:dyDescent="0.25">
      <c r="B126" s="408"/>
      <c r="C126" s="482"/>
      <c r="D126" s="406"/>
      <c r="E126" s="374"/>
      <c r="F126" s="362"/>
      <c r="G126" s="362"/>
      <c r="H126" s="374"/>
      <c r="I126" s="486"/>
      <c r="J126" s="486"/>
      <c r="K126" s="80"/>
      <c r="L126" s="80"/>
      <c r="M126" s="365"/>
      <c r="N126" s="362"/>
      <c r="O126" s="362"/>
      <c r="P126" s="365"/>
      <c r="Q126" s="371"/>
      <c r="R126" s="374"/>
      <c r="S126" s="374"/>
      <c r="T126" s="102"/>
      <c r="U126" s="106">
        <f t="shared" si="317"/>
        <v>0</v>
      </c>
      <c r="V126" s="102"/>
      <c r="W126" s="106">
        <f t="shared" si="318"/>
        <v>0</v>
      </c>
      <c r="X126" s="102"/>
      <c r="Y126" s="106">
        <f t="shared" si="319"/>
        <v>0</v>
      </c>
      <c r="Z126" s="102"/>
      <c r="AA126" s="106">
        <f t="shared" si="320"/>
        <v>0</v>
      </c>
      <c r="AB126" s="102"/>
      <c r="AC126" s="106">
        <f t="shared" si="321"/>
        <v>0</v>
      </c>
      <c r="AD126" s="102"/>
      <c r="AE126" s="106">
        <f t="shared" si="322"/>
        <v>0</v>
      </c>
      <c r="AF126" s="102"/>
      <c r="AG126" s="106">
        <f t="shared" si="323"/>
        <v>0</v>
      </c>
      <c r="AH126" s="105">
        <f t="shared" si="283"/>
        <v>0</v>
      </c>
      <c r="AI126" s="105" t="str">
        <f t="shared" ref="AI126:AI127" si="327">IF(AH126&gt;=96,"Fuerte",IF(AH126&gt;=86,"Moderado",IF(AH126&gt;=1,"Débil","")))</f>
        <v/>
      </c>
      <c r="AJ126" s="107"/>
      <c r="AK126" s="105" t="str">
        <f t="shared" si="324"/>
        <v/>
      </c>
      <c r="AL126" s="105" t="str">
        <f t="shared" si="325"/>
        <v/>
      </c>
      <c r="AM126" s="105" t="str">
        <f>IFERROR(VLOOKUP(AL126,[13]FORMULAS!$B$69:$D$77,3,FALSE),"")</f>
        <v/>
      </c>
      <c r="AN126" s="105" t="str">
        <f t="shared" si="326"/>
        <v/>
      </c>
      <c r="AO126" s="105" t="str">
        <f>IFERROR(VLOOKUP(AL126,[13]FORMULAS!$B$69:$C$77,2,FALSE),"")</f>
        <v/>
      </c>
      <c r="AP126" s="359"/>
      <c r="AQ126" s="359"/>
      <c r="AR126" s="356"/>
      <c r="AS126" s="356"/>
      <c r="AT126" s="359"/>
      <c r="AU126" s="359"/>
      <c r="AV126" s="359"/>
      <c r="AW126" s="362"/>
      <c r="AX126" s="362"/>
      <c r="AY126" s="365"/>
      <c r="AZ126" s="368"/>
      <c r="BA126" s="371"/>
      <c r="BB126" s="152"/>
      <c r="BC126" s="82"/>
      <c r="BD126" s="82"/>
      <c r="BE126" s="83"/>
      <c r="BF126" s="350"/>
      <c r="BG126" s="84"/>
      <c r="BH126" s="82"/>
      <c r="BI126" s="82"/>
      <c r="BJ126" s="155"/>
    </row>
    <row r="127" spans="2:62" s="86" customFormat="1" ht="20.100000000000001" customHeight="1" thickBot="1" x14ac:dyDescent="0.3">
      <c r="B127" s="480"/>
      <c r="C127" s="483"/>
      <c r="D127" s="484"/>
      <c r="E127" s="382"/>
      <c r="F127" s="474"/>
      <c r="G127" s="474"/>
      <c r="H127" s="382"/>
      <c r="I127" s="487"/>
      <c r="J127" s="487"/>
      <c r="K127" s="142"/>
      <c r="L127" s="142"/>
      <c r="M127" s="475"/>
      <c r="N127" s="474"/>
      <c r="O127" s="474"/>
      <c r="P127" s="475"/>
      <c r="Q127" s="477"/>
      <c r="R127" s="382"/>
      <c r="S127" s="382"/>
      <c r="T127" s="143"/>
      <c r="U127" s="144">
        <f t="shared" si="317"/>
        <v>0</v>
      </c>
      <c r="V127" s="143"/>
      <c r="W127" s="144">
        <f t="shared" si="318"/>
        <v>0</v>
      </c>
      <c r="X127" s="143"/>
      <c r="Y127" s="144">
        <f t="shared" si="319"/>
        <v>0</v>
      </c>
      <c r="Z127" s="143"/>
      <c r="AA127" s="144">
        <f t="shared" si="320"/>
        <v>0</v>
      </c>
      <c r="AB127" s="143"/>
      <c r="AC127" s="144">
        <f t="shared" si="321"/>
        <v>0</v>
      </c>
      <c r="AD127" s="143"/>
      <c r="AE127" s="144">
        <f t="shared" si="322"/>
        <v>0</v>
      </c>
      <c r="AF127" s="143"/>
      <c r="AG127" s="144">
        <f t="shared" si="323"/>
        <v>0</v>
      </c>
      <c r="AH127" s="147">
        <f t="shared" si="283"/>
        <v>0</v>
      </c>
      <c r="AI127" s="147" t="str">
        <f t="shared" si="327"/>
        <v/>
      </c>
      <c r="AJ127" s="148"/>
      <c r="AK127" s="147" t="str">
        <f t="shared" si="324"/>
        <v/>
      </c>
      <c r="AL127" s="147" t="str">
        <f t="shared" si="325"/>
        <v/>
      </c>
      <c r="AM127" s="147" t="str">
        <f>IFERROR(VLOOKUP(AL127,[13]FORMULAS!$B$69:$D$77,3,FALSE),"")</f>
        <v/>
      </c>
      <c r="AN127" s="147" t="str">
        <f t="shared" si="326"/>
        <v/>
      </c>
      <c r="AO127" s="147" t="str">
        <f>IFERROR(VLOOKUP(AL127,[13]FORMULAS!$B$69:$C$77,2,FALSE),"")</f>
        <v/>
      </c>
      <c r="AP127" s="473"/>
      <c r="AQ127" s="473"/>
      <c r="AR127" s="472"/>
      <c r="AS127" s="472"/>
      <c r="AT127" s="473"/>
      <c r="AU127" s="473"/>
      <c r="AV127" s="473"/>
      <c r="AW127" s="474"/>
      <c r="AX127" s="474"/>
      <c r="AY127" s="475"/>
      <c r="AZ127" s="476"/>
      <c r="BA127" s="477"/>
      <c r="BB127" s="149"/>
      <c r="BC127" s="150"/>
      <c r="BD127" s="150"/>
      <c r="BE127" s="299"/>
      <c r="BF127" s="350"/>
      <c r="BG127" s="270"/>
      <c r="BH127" s="150"/>
      <c r="BI127" s="150"/>
      <c r="BJ127" s="300"/>
    </row>
    <row r="128" spans="2:62" s="86" customFormat="1" ht="108" x14ac:dyDescent="0.25">
      <c r="B128" s="407" t="s">
        <v>80</v>
      </c>
      <c r="C128" s="361">
        <v>33</v>
      </c>
      <c r="D128" s="373" t="s">
        <v>887</v>
      </c>
      <c r="E128" s="373" t="s">
        <v>888</v>
      </c>
      <c r="F128" s="361" t="s">
        <v>89</v>
      </c>
      <c r="G128" s="361" t="s">
        <v>95</v>
      </c>
      <c r="H128" s="373" t="s">
        <v>329</v>
      </c>
      <c r="I128" s="379"/>
      <c r="J128" s="379"/>
      <c r="K128" s="109" t="s">
        <v>889</v>
      </c>
      <c r="L128" s="109" t="s">
        <v>890</v>
      </c>
      <c r="M128" s="364" t="str">
        <f>IF(F128="gestion","impacto",IF(F128="corrupcion","impactocorrupcion",IF(F128="seguridad_de_la_informacion","impacto","")))</f>
        <v>impacto</v>
      </c>
      <c r="N128" s="339" t="s">
        <v>18</v>
      </c>
      <c r="O128" s="339" t="s">
        <v>22</v>
      </c>
      <c r="P128" s="364" t="str">
        <f>N128&amp;O128</f>
        <v>PosibleMenor</v>
      </c>
      <c r="Q128" s="370" t="str">
        <f>IFERROR(VLOOKUP(P128,[14]FORMULAS!$B$37:$C$61,2,FALSE),"")</f>
        <v>Riesgo moderado</v>
      </c>
      <c r="R128" s="466" t="s">
        <v>891</v>
      </c>
      <c r="S128" s="467"/>
      <c r="T128" s="112" t="s">
        <v>286</v>
      </c>
      <c r="U128" s="113">
        <f>IF(T128="Asignado",15,0)</f>
        <v>15</v>
      </c>
      <c r="V128" s="112" t="s">
        <v>287</v>
      </c>
      <c r="W128" s="113">
        <f>IF(V128="Adecuado",15,0)</f>
        <v>15</v>
      </c>
      <c r="X128" s="112" t="s">
        <v>288</v>
      </c>
      <c r="Y128" s="113">
        <f>IF(X128="Oportuna",15,0)</f>
        <v>15</v>
      </c>
      <c r="Z128" s="112" t="s">
        <v>291</v>
      </c>
      <c r="AA128" s="113">
        <f>IF(Z128="Prevenir",15,IF(Z128="Detectar",10,0))</f>
        <v>15</v>
      </c>
      <c r="AB128" s="112" t="s">
        <v>290</v>
      </c>
      <c r="AC128" s="113">
        <f>IF(AB128="Confiable",15,0)</f>
        <v>15</v>
      </c>
      <c r="AD128" s="112" t="s">
        <v>292</v>
      </c>
      <c r="AE128" s="113">
        <f>IF(AD128="Se investigan y resuelven oportunamente",15,0)</f>
        <v>15</v>
      </c>
      <c r="AF128" s="112" t="s">
        <v>289</v>
      </c>
      <c r="AG128" s="113">
        <f>IF(AF128="Completa",10,IF(AF128="incompleta",5,0))</f>
        <v>10</v>
      </c>
      <c r="AH128" s="116">
        <f t="shared" si="283"/>
        <v>100</v>
      </c>
      <c r="AI128" s="116" t="str">
        <f>IF(AH128&gt;=96,"Fuerte",IF(AH128&gt;=86,"Moderado",IF(AH128&gt;=1,"Débil","")))</f>
        <v>Fuerte</v>
      </c>
      <c r="AJ128" s="117" t="s">
        <v>293</v>
      </c>
      <c r="AK128" s="116" t="str">
        <f>IF(AJ128="Siempre se ejecuta","Fuerte",IF(AJ128="Algunas veces","Moderado",IF(AJ128="no se ejecuta","Débil","")))</f>
        <v>Fuerte</v>
      </c>
      <c r="AL128" s="116" t="str">
        <f>AI128&amp;AK128</f>
        <v>FuerteFuerte</v>
      </c>
      <c r="AM128" s="116" t="str">
        <f>IFERROR(VLOOKUP(AL128,[14]FORMULAS!$B$69:$D$77,3,FALSE),"")</f>
        <v>Fuerte</v>
      </c>
      <c r="AN128" s="116">
        <f>IF(AM128="fuerte",100,IF(AM128="Moderado",50,IF(AM128="débil",0,"")))</f>
        <v>100</v>
      </c>
      <c r="AO128" s="116" t="str">
        <f>IFERROR(VLOOKUP(AL128,[14]FORMULAS!$B$69:$D$77,2,FALSE),"")</f>
        <v>No</v>
      </c>
      <c r="AP128" s="358">
        <f>IFERROR(AVERAGE(AN128:AN131),0)</f>
        <v>100</v>
      </c>
      <c r="AQ128" s="358" t="str">
        <f>IF(AP128&gt;=100,"Fuerte",IF(AP128&gt;=50,"Moderado",IF(AP128&gt;=1,"Débil","")))</f>
        <v>Fuerte</v>
      </c>
      <c r="AR128" s="355" t="s">
        <v>160</v>
      </c>
      <c r="AS128" s="355" t="s">
        <v>162</v>
      </c>
      <c r="AT128" s="358" t="str">
        <f>+AQ128&amp;AR128&amp;AS128</f>
        <v>FuerteDirectamenteIndirectamente</v>
      </c>
      <c r="AU128" s="358">
        <f>IFERROR(VLOOKUP(AT128,[14]FORMULAS!$B$94:$D$101,2,FALSE),0)</f>
        <v>2</v>
      </c>
      <c r="AV128" s="358">
        <f>IFERROR(VLOOKUP(AT128,[14]FORMULAS!$B$94:$D$101,3,FALSE),0)</f>
        <v>1</v>
      </c>
      <c r="AW128" s="361" t="s">
        <v>134</v>
      </c>
      <c r="AX128" s="361" t="s">
        <v>21</v>
      </c>
      <c r="AY128" s="364" t="str">
        <f>AW128&amp;AX128</f>
        <v>Rara vezInsignificante</v>
      </c>
      <c r="AZ128" s="367" t="str">
        <f>IFERROR(VLOOKUP(AY128,[14]FORMULAS!$B$37:$C$61,2,FALSE),"")</f>
        <v>Riesgo bajo</v>
      </c>
      <c r="BA128" s="370" t="s">
        <v>167</v>
      </c>
      <c r="BB128" s="153" t="s">
        <v>892</v>
      </c>
      <c r="BC128" s="153" t="s">
        <v>893</v>
      </c>
      <c r="BD128" s="153" t="s">
        <v>894</v>
      </c>
      <c r="BE128" s="160" t="s">
        <v>895</v>
      </c>
      <c r="BF128" s="160" t="s">
        <v>896</v>
      </c>
      <c r="BG128" s="153" t="s">
        <v>897</v>
      </c>
      <c r="BH128" s="153" t="s">
        <v>898</v>
      </c>
      <c r="BI128" s="153" t="s">
        <v>899</v>
      </c>
      <c r="BJ128" s="120" t="s">
        <v>685</v>
      </c>
    </row>
    <row r="129" spans="2:62" s="86" customFormat="1" ht="12" x14ac:dyDescent="0.25">
      <c r="B129" s="408"/>
      <c r="C129" s="362"/>
      <c r="D129" s="374"/>
      <c r="E129" s="374"/>
      <c r="F129" s="362"/>
      <c r="G129" s="362"/>
      <c r="H129" s="374"/>
      <c r="I129" s="380"/>
      <c r="J129" s="380"/>
      <c r="K129" s="80"/>
      <c r="L129" s="121"/>
      <c r="M129" s="365"/>
      <c r="N129" s="341"/>
      <c r="O129" s="341"/>
      <c r="P129" s="365"/>
      <c r="Q129" s="371"/>
      <c r="R129" s="374"/>
      <c r="S129" s="374"/>
      <c r="T129" s="102"/>
      <c r="U129" s="106">
        <f t="shared" ref="U129:U131" si="328">IF(T129="Asignado",15,0)</f>
        <v>0</v>
      </c>
      <c r="V129" s="102"/>
      <c r="W129" s="106">
        <f t="shared" ref="W129:W131" si="329">IF(V129="Adecuado",15,0)</f>
        <v>0</v>
      </c>
      <c r="X129" s="102"/>
      <c r="Y129" s="106">
        <f t="shared" ref="Y129:Y131" si="330">IF(X129="Oportuna",15,0)</f>
        <v>0</v>
      </c>
      <c r="Z129" s="102"/>
      <c r="AA129" s="106">
        <f t="shared" ref="AA129:AA131" si="331">IF(Z129="Prevenir",15,IF(Z129="Detectar",10,0))</f>
        <v>0</v>
      </c>
      <c r="AB129" s="102"/>
      <c r="AC129" s="106">
        <f t="shared" ref="AC129:AC131" si="332">IF(AB129="Confiable",15,0)</f>
        <v>0</v>
      </c>
      <c r="AD129" s="102"/>
      <c r="AE129" s="106">
        <f t="shared" ref="AE129:AE131" si="333">IF(AD129="Se investigan y resuelven oportunamente",15,0)</f>
        <v>0</v>
      </c>
      <c r="AF129" s="102"/>
      <c r="AG129" s="106">
        <f t="shared" ref="AG129:AG131" si="334">IF(AF129="Completa",10,IF(AF129="incompleta",5,0))</f>
        <v>0</v>
      </c>
      <c r="AH129" s="105">
        <f t="shared" si="283"/>
        <v>0</v>
      </c>
      <c r="AI129" s="105" t="str">
        <f>IF(AH129&gt;=96,"Fuerte",IF(AH129&gt;=86,"Moderado",IF(AH129&gt;=1,"Débil","")))</f>
        <v/>
      </c>
      <c r="AJ129" s="107"/>
      <c r="AK129" s="105" t="str">
        <f t="shared" ref="AK129:AK131" si="335">IF(AJ129="Siempre se ejecuta","Fuerte",IF(AJ129="Algunas veces","Moderado",IF(AJ129="no se ejecuta","Débil","")))</f>
        <v/>
      </c>
      <c r="AL129" s="105" t="str">
        <f t="shared" ref="AL129:AL131" si="336">AI129&amp;AK129</f>
        <v/>
      </c>
      <c r="AM129" s="105" t="str">
        <f>IFERROR(VLOOKUP(AL129,[14]FORMULAS!$B$69:$D$77,3,FALSE),"")</f>
        <v/>
      </c>
      <c r="AN129" s="105" t="str">
        <f t="shared" ref="AN129:AN131" si="337">IF(AM129="fuerte",100,IF(AM129="Moderado",50,IF(AM129="débil",0,"")))</f>
        <v/>
      </c>
      <c r="AO129" s="105" t="str">
        <f>IFERROR(VLOOKUP(AL129,[14]FORMULAS!$B$69:$C$77,2,FALSE),"")</f>
        <v/>
      </c>
      <c r="AP129" s="359"/>
      <c r="AQ129" s="359"/>
      <c r="AR129" s="356"/>
      <c r="AS129" s="356"/>
      <c r="AT129" s="359"/>
      <c r="AU129" s="359"/>
      <c r="AV129" s="359"/>
      <c r="AW129" s="362"/>
      <c r="AX129" s="362"/>
      <c r="AY129" s="365"/>
      <c r="AZ129" s="368"/>
      <c r="BA129" s="371"/>
      <c r="BB129" s="152"/>
      <c r="BC129" s="104"/>
      <c r="BD129" s="104"/>
      <c r="BE129" s="83"/>
      <c r="BF129" s="83"/>
      <c r="BG129" s="152"/>
      <c r="BH129" s="104"/>
      <c r="BI129" s="104"/>
      <c r="BJ129" s="123"/>
    </row>
    <row r="130" spans="2:62" s="86" customFormat="1" ht="12" x14ac:dyDescent="0.25">
      <c r="B130" s="408"/>
      <c r="C130" s="362"/>
      <c r="D130" s="374"/>
      <c r="E130" s="374"/>
      <c r="F130" s="362"/>
      <c r="G130" s="362"/>
      <c r="H130" s="374"/>
      <c r="I130" s="380"/>
      <c r="J130" s="380"/>
      <c r="K130" s="80"/>
      <c r="L130" s="121"/>
      <c r="M130" s="365"/>
      <c r="N130" s="341"/>
      <c r="O130" s="341"/>
      <c r="P130" s="365"/>
      <c r="Q130" s="371"/>
      <c r="R130" s="374"/>
      <c r="S130" s="374"/>
      <c r="T130" s="102"/>
      <c r="U130" s="106">
        <f t="shared" si="328"/>
        <v>0</v>
      </c>
      <c r="V130" s="102"/>
      <c r="W130" s="106">
        <f t="shared" si="329"/>
        <v>0</v>
      </c>
      <c r="X130" s="102"/>
      <c r="Y130" s="106">
        <f t="shared" si="330"/>
        <v>0</v>
      </c>
      <c r="Z130" s="102"/>
      <c r="AA130" s="106">
        <f t="shared" si="331"/>
        <v>0</v>
      </c>
      <c r="AB130" s="102"/>
      <c r="AC130" s="106">
        <f t="shared" si="332"/>
        <v>0</v>
      </c>
      <c r="AD130" s="102"/>
      <c r="AE130" s="106">
        <f t="shared" si="333"/>
        <v>0</v>
      </c>
      <c r="AF130" s="102"/>
      <c r="AG130" s="106">
        <f t="shared" si="334"/>
        <v>0</v>
      </c>
      <c r="AH130" s="105">
        <f t="shared" si="283"/>
        <v>0</v>
      </c>
      <c r="AI130" s="105" t="str">
        <f t="shared" ref="AI130:AI131" si="338">IF(AH130&gt;=96,"Fuerte",IF(AH130&gt;=86,"Moderado",IF(AH130&gt;=1,"Débil","")))</f>
        <v/>
      </c>
      <c r="AJ130" s="107"/>
      <c r="AK130" s="105" t="str">
        <f t="shared" si="335"/>
        <v/>
      </c>
      <c r="AL130" s="105" t="str">
        <f t="shared" si="336"/>
        <v/>
      </c>
      <c r="AM130" s="105" t="str">
        <f>IFERROR(VLOOKUP(AL130,[14]FORMULAS!$B$69:$D$77,3,FALSE),"")</f>
        <v/>
      </c>
      <c r="AN130" s="105" t="str">
        <f t="shared" si="337"/>
        <v/>
      </c>
      <c r="AO130" s="105" t="str">
        <f>IFERROR(VLOOKUP(AL130,[14]FORMULAS!$B$69:$C$77,2,FALSE),"")</f>
        <v/>
      </c>
      <c r="AP130" s="359"/>
      <c r="AQ130" s="359"/>
      <c r="AR130" s="356"/>
      <c r="AS130" s="356"/>
      <c r="AT130" s="359"/>
      <c r="AU130" s="359"/>
      <c r="AV130" s="359"/>
      <c r="AW130" s="362"/>
      <c r="AX130" s="362"/>
      <c r="AY130" s="365"/>
      <c r="AZ130" s="368"/>
      <c r="BA130" s="371"/>
      <c r="BB130" s="152"/>
      <c r="BC130" s="104"/>
      <c r="BD130" s="104"/>
      <c r="BE130" s="83"/>
      <c r="BF130" s="83"/>
      <c r="BG130" s="152"/>
      <c r="BH130" s="104"/>
      <c r="BI130" s="104"/>
      <c r="BJ130" s="123"/>
    </row>
    <row r="131" spans="2:62" s="86" customFormat="1" ht="12.75" thickBot="1" x14ac:dyDescent="0.3">
      <c r="B131" s="409"/>
      <c r="C131" s="363"/>
      <c r="D131" s="375"/>
      <c r="E131" s="375"/>
      <c r="F131" s="363"/>
      <c r="G131" s="363"/>
      <c r="H131" s="375"/>
      <c r="I131" s="381"/>
      <c r="J131" s="381"/>
      <c r="K131" s="124"/>
      <c r="L131" s="137"/>
      <c r="M131" s="366"/>
      <c r="N131" s="342"/>
      <c r="O131" s="342"/>
      <c r="P131" s="366"/>
      <c r="Q131" s="372"/>
      <c r="R131" s="375"/>
      <c r="S131" s="375"/>
      <c r="T131" s="125"/>
      <c r="U131" s="126">
        <f t="shared" si="328"/>
        <v>0</v>
      </c>
      <c r="V131" s="125"/>
      <c r="W131" s="126">
        <f t="shared" si="329"/>
        <v>0</v>
      </c>
      <c r="X131" s="125"/>
      <c r="Y131" s="126">
        <f t="shared" si="330"/>
        <v>0</v>
      </c>
      <c r="Z131" s="125"/>
      <c r="AA131" s="126">
        <f t="shared" si="331"/>
        <v>0</v>
      </c>
      <c r="AB131" s="125"/>
      <c r="AC131" s="126">
        <f t="shared" si="332"/>
        <v>0</v>
      </c>
      <c r="AD131" s="125"/>
      <c r="AE131" s="126">
        <f t="shared" si="333"/>
        <v>0</v>
      </c>
      <c r="AF131" s="125"/>
      <c r="AG131" s="126">
        <f t="shared" si="334"/>
        <v>0</v>
      </c>
      <c r="AH131" s="129">
        <f t="shared" si="283"/>
        <v>0</v>
      </c>
      <c r="AI131" s="129" t="str">
        <f t="shared" si="338"/>
        <v/>
      </c>
      <c r="AJ131" s="130"/>
      <c r="AK131" s="129" t="str">
        <f t="shared" si="335"/>
        <v/>
      </c>
      <c r="AL131" s="129" t="str">
        <f t="shared" si="336"/>
        <v/>
      </c>
      <c r="AM131" s="129" t="str">
        <f>IFERROR(VLOOKUP(AL131,[14]FORMULAS!$B$69:$D$77,3,FALSE),"")</f>
        <v/>
      </c>
      <c r="AN131" s="129" t="str">
        <f t="shared" si="337"/>
        <v/>
      </c>
      <c r="AO131" s="129" t="str">
        <f>IFERROR(VLOOKUP(AL131,[14]FORMULAS!$B$69:$C$77,2,FALSE),"")</f>
        <v/>
      </c>
      <c r="AP131" s="360"/>
      <c r="AQ131" s="360"/>
      <c r="AR131" s="357"/>
      <c r="AS131" s="357"/>
      <c r="AT131" s="360"/>
      <c r="AU131" s="360"/>
      <c r="AV131" s="360"/>
      <c r="AW131" s="363"/>
      <c r="AX131" s="363"/>
      <c r="AY131" s="366"/>
      <c r="AZ131" s="369"/>
      <c r="BA131" s="372"/>
      <c r="BB131" s="131"/>
      <c r="BC131" s="131"/>
      <c r="BD131" s="131"/>
      <c r="BE131" s="161"/>
      <c r="BF131" s="162"/>
      <c r="BG131" s="161"/>
      <c r="BH131" s="131"/>
      <c r="BI131" s="131"/>
      <c r="BJ131" s="193"/>
    </row>
    <row r="132" spans="2:62" s="86" customFormat="1" ht="72" x14ac:dyDescent="0.25">
      <c r="B132" s="407" t="s">
        <v>80</v>
      </c>
      <c r="C132" s="361">
        <v>34</v>
      </c>
      <c r="D132" s="373" t="s">
        <v>900</v>
      </c>
      <c r="E132" s="373" t="s">
        <v>901</v>
      </c>
      <c r="F132" s="361" t="s">
        <v>91</v>
      </c>
      <c r="G132" s="361" t="s">
        <v>100</v>
      </c>
      <c r="H132" s="373" t="s">
        <v>902</v>
      </c>
      <c r="I132" s="379" t="s">
        <v>128</v>
      </c>
      <c r="J132" s="379" t="s">
        <v>113</v>
      </c>
      <c r="K132" s="109" t="s">
        <v>903</v>
      </c>
      <c r="L132" s="164" t="s">
        <v>904</v>
      </c>
      <c r="M132" s="364" t="str">
        <f>IF(F132="gestion","impacto",IF(F132="corrupcion","impactocorrupcion",IF(F132="seguridad_de_la_informacion","impacto","")))</f>
        <v>impacto</v>
      </c>
      <c r="N132" s="339" t="s">
        <v>19</v>
      </c>
      <c r="O132" s="339" t="s">
        <v>22</v>
      </c>
      <c r="P132" s="364" t="str">
        <f>N132&amp;O132</f>
        <v>ProbableMenor</v>
      </c>
      <c r="Q132" s="370" t="str">
        <f>IFERROR(VLOOKUP(P132,[14]FORMULAS!$B$37:$C$61,2,FALSE),"")</f>
        <v>Riesgo alto</v>
      </c>
      <c r="R132" s="373" t="s">
        <v>905</v>
      </c>
      <c r="S132" s="373"/>
      <c r="T132" s="112" t="s">
        <v>286</v>
      </c>
      <c r="U132" s="113">
        <f>IF(T132="Asignado",15,0)</f>
        <v>15</v>
      </c>
      <c r="V132" s="112" t="s">
        <v>287</v>
      </c>
      <c r="W132" s="113">
        <f>IF(V132="Adecuado",15,0)</f>
        <v>15</v>
      </c>
      <c r="X132" s="112" t="s">
        <v>288</v>
      </c>
      <c r="Y132" s="113">
        <f>IF(X132="Oportuna",15,0)</f>
        <v>15</v>
      </c>
      <c r="Z132" s="112" t="s">
        <v>291</v>
      </c>
      <c r="AA132" s="113">
        <f>IF(Z132="Prevenir",15,IF(Z132="Detectar",10,0))</f>
        <v>15</v>
      </c>
      <c r="AB132" s="112" t="s">
        <v>290</v>
      </c>
      <c r="AC132" s="113">
        <f>IF(AB132="Confiable",15,0)</f>
        <v>15</v>
      </c>
      <c r="AD132" s="112" t="s">
        <v>292</v>
      </c>
      <c r="AE132" s="113">
        <f>IF(AD132="Se investigan y resuelven oportunamente",15,0)</f>
        <v>15</v>
      </c>
      <c r="AF132" s="112" t="s">
        <v>289</v>
      </c>
      <c r="AG132" s="113">
        <f>IF(AF132="Completa",10,IF(AF132="incompleta",5,0))</f>
        <v>10</v>
      </c>
      <c r="AH132" s="116">
        <f t="shared" si="283"/>
        <v>100</v>
      </c>
      <c r="AI132" s="116" t="str">
        <f>IF(AH132&gt;=96,"Fuerte",IF(AH132&gt;=86,"Moderado",IF(AH132&gt;=1,"Débil","")))</f>
        <v>Fuerte</v>
      </c>
      <c r="AJ132" s="117" t="s">
        <v>293</v>
      </c>
      <c r="AK132" s="116" t="str">
        <f>IF(AJ132="Siempre se ejecuta","Fuerte",IF(AJ132="Algunas veces","Moderado",IF(AJ132="no se ejecuta","Débil","")))</f>
        <v>Fuerte</v>
      </c>
      <c r="AL132" s="116" t="str">
        <f>AI132&amp;AK132</f>
        <v>FuerteFuerte</v>
      </c>
      <c r="AM132" s="116" t="str">
        <f>IFERROR(VLOOKUP(AL132,[14]FORMULAS!$B$69:$D$77,3,FALSE),"")</f>
        <v>Fuerte</v>
      </c>
      <c r="AN132" s="116">
        <f>IF(AM132="fuerte",100,IF(AM132="Moderado",50,IF(AM132="débil",0,"")))</f>
        <v>100</v>
      </c>
      <c r="AO132" s="116" t="str">
        <f>IFERROR(VLOOKUP(AL132,[14]FORMULAS!$B$69:$D$77,2,FALSE),"")</f>
        <v>No</v>
      </c>
      <c r="AP132" s="358">
        <f>IFERROR(AVERAGE(AN132:AN135),0)</f>
        <v>100</v>
      </c>
      <c r="AQ132" s="358" t="str">
        <f>IF(AP132&gt;=100,"Fuerte",IF(AP132&gt;=50,"Moderado",IF(AP132&gt;=1,"Débil","")))</f>
        <v>Fuerte</v>
      </c>
      <c r="AR132" s="355" t="s">
        <v>160</v>
      </c>
      <c r="AS132" s="355" t="s">
        <v>160</v>
      </c>
      <c r="AT132" s="358" t="str">
        <f>+AQ132&amp;AR132&amp;AS132</f>
        <v>FuerteDirectamenteDirectamente</v>
      </c>
      <c r="AU132" s="358">
        <f>IFERROR(VLOOKUP(AT132,[14]FORMULAS!$B$94:$D$101,2,FALSE),0)</f>
        <v>2</v>
      </c>
      <c r="AV132" s="358">
        <f>IFERROR(VLOOKUP(AT132,[14]FORMULAS!$B$94:$D$101,3,FALSE),0)</f>
        <v>2</v>
      </c>
      <c r="AW132" s="361" t="s">
        <v>17</v>
      </c>
      <c r="AX132" s="361" t="s">
        <v>21</v>
      </c>
      <c r="AY132" s="364" t="str">
        <f>AW132&amp;AX132</f>
        <v>ImprobableInsignificante</v>
      </c>
      <c r="AZ132" s="367" t="str">
        <f>IFERROR(VLOOKUP(AY132,[14]FORMULAS!$B$37:$C$61,2,FALSE),"")</f>
        <v>Riesgo bajo</v>
      </c>
      <c r="BA132" s="370" t="s">
        <v>167</v>
      </c>
      <c r="BB132" s="296" t="s">
        <v>906</v>
      </c>
      <c r="BC132" s="153" t="s">
        <v>907</v>
      </c>
      <c r="BD132" s="153" t="s">
        <v>908</v>
      </c>
      <c r="BE132" s="181" t="s">
        <v>909</v>
      </c>
      <c r="BF132" s="181" t="s">
        <v>910</v>
      </c>
      <c r="BG132" s="296" t="s">
        <v>911</v>
      </c>
      <c r="BH132" s="296" t="s">
        <v>912</v>
      </c>
      <c r="BI132" s="153" t="s">
        <v>908</v>
      </c>
      <c r="BJ132" s="301" t="s">
        <v>685</v>
      </c>
    </row>
    <row r="133" spans="2:62" s="86" customFormat="1" ht="12" x14ac:dyDescent="0.25">
      <c r="B133" s="408"/>
      <c r="C133" s="362"/>
      <c r="D133" s="374"/>
      <c r="E133" s="374"/>
      <c r="F133" s="362"/>
      <c r="G133" s="362"/>
      <c r="H133" s="374"/>
      <c r="I133" s="380"/>
      <c r="J133" s="380"/>
      <c r="K133" s="80"/>
      <c r="L133" s="103"/>
      <c r="M133" s="365"/>
      <c r="N133" s="341"/>
      <c r="O133" s="341"/>
      <c r="P133" s="365"/>
      <c r="Q133" s="371"/>
      <c r="R133" s="374"/>
      <c r="S133" s="374"/>
      <c r="T133" s="102"/>
      <c r="U133" s="106">
        <f t="shared" ref="U133:U135" si="339">IF(T133="Asignado",15,0)</f>
        <v>0</v>
      </c>
      <c r="V133" s="102"/>
      <c r="W133" s="106">
        <f t="shared" ref="W133:W135" si="340">IF(V133="Adecuado",15,0)</f>
        <v>0</v>
      </c>
      <c r="X133" s="102"/>
      <c r="Y133" s="106">
        <f t="shared" ref="Y133:Y135" si="341">IF(X133="Oportuna",15,0)</f>
        <v>0</v>
      </c>
      <c r="Z133" s="102"/>
      <c r="AA133" s="106">
        <f t="shared" ref="AA133:AA135" si="342">IF(Z133="Prevenir",15,IF(Z133="Detectar",10,0))</f>
        <v>0</v>
      </c>
      <c r="AB133" s="102"/>
      <c r="AC133" s="106">
        <f t="shared" ref="AC133:AC135" si="343">IF(AB133="Confiable",15,0)</f>
        <v>0</v>
      </c>
      <c r="AD133" s="102"/>
      <c r="AE133" s="106">
        <f t="shared" ref="AE133:AE135" si="344">IF(AD133="Se investigan y resuelven oportunamente",15,0)</f>
        <v>0</v>
      </c>
      <c r="AF133" s="102"/>
      <c r="AG133" s="106">
        <f t="shared" ref="AG133:AG135" si="345">IF(AF133="Completa",10,IF(AF133="incompleta",5,0))</f>
        <v>0</v>
      </c>
      <c r="AH133" s="105">
        <f t="shared" si="283"/>
        <v>0</v>
      </c>
      <c r="AI133" s="105" t="str">
        <f>IF(AH133&gt;=96,"Fuerte",IF(AH133&gt;=86,"Moderado",IF(AH133&gt;=1,"Débil","")))</f>
        <v/>
      </c>
      <c r="AJ133" s="107"/>
      <c r="AK133" s="105" t="str">
        <f t="shared" ref="AK133:AK135" si="346">IF(AJ133="Siempre se ejecuta","Fuerte",IF(AJ133="Algunas veces","Moderado",IF(AJ133="no se ejecuta","Débil","")))</f>
        <v/>
      </c>
      <c r="AL133" s="105" t="str">
        <f t="shared" ref="AL133:AL135" si="347">AI133&amp;AK133</f>
        <v/>
      </c>
      <c r="AM133" s="105" t="str">
        <f>IFERROR(VLOOKUP(AL133,[14]FORMULAS!$B$69:$D$77,3,FALSE),"")</f>
        <v/>
      </c>
      <c r="AN133" s="105" t="str">
        <f t="shared" ref="AN133:AN135" si="348">IF(AM133="fuerte",100,IF(AM133="Moderado",50,IF(AM133="débil",0,"")))</f>
        <v/>
      </c>
      <c r="AO133" s="105" t="str">
        <f>IFERROR(VLOOKUP(AL133,[14]FORMULAS!$B$69:$C$77,2,FALSE),"")</f>
        <v/>
      </c>
      <c r="AP133" s="359"/>
      <c r="AQ133" s="359"/>
      <c r="AR133" s="356"/>
      <c r="AS133" s="356"/>
      <c r="AT133" s="359"/>
      <c r="AU133" s="359"/>
      <c r="AV133" s="359"/>
      <c r="AW133" s="362"/>
      <c r="AX133" s="362"/>
      <c r="AY133" s="365"/>
      <c r="AZ133" s="368"/>
      <c r="BA133" s="371"/>
      <c r="BB133" s="152"/>
      <c r="BC133" s="82"/>
      <c r="BD133" s="82"/>
      <c r="BE133" s="83"/>
      <c r="BF133" s="83"/>
      <c r="BG133" s="84"/>
      <c r="BH133" s="82"/>
      <c r="BI133" s="82"/>
      <c r="BJ133" s="155"/>
    </row>
    <row r="134" spans="2:62" s="86" customFormat="1" ht="12" x14ac:dyDescent="0.25">
      <c r="B134" s="408"/>
      <c r="C134" s="362"/>
      <c r="D134" s="374"/>
      <c r="E134" s="374"/>
      <c r="F134" s="362"/>
      <c r="G134" s="362"/>
      <c r="H134" s="374"/>
      <c r="I134" s="380"/>
      <c r="J134" s="380"/>
      <c r="K134" s="80"/>
      <c r="L134" s="103"/>
      <c r="M134" s="365"/>
      <c r="N134" s="341"/>
      <c r="O134" s="341"/>
      <c r="P134" s="365"/>
      <c r="Q134" s="371"/>
      <c r="R134" s="374"/>
      <c r="S134" s="374"/>
      <c r="T134" s="102"/>
      <c r="U134" s="106">
        <f t="shared" si="339"/>
        <v>0</v>
      </c>
      <c r="V134" s="102"/>
      <c r="W134" s="106">
        <f t="shared" si="340"/>
        <v>0</v>
      </c>
      <c r="X134" s="102"/>
      <c r="Y134" s="106">
        <f t="shared" si="341"/>
        <v>0</v>
      </c>
      <c r="Z134" s="102"/>
      <c r="AA134" s="106">
        <f t="shared" si="342"/>
        <v>0</v>
      </c>
      <c r="AB134" s="102"/>
      <c r="AC134" s="106">
        <f t="shared" si="343"/>
        <v>0</v>
      </c>
      <c r="AD134" s="102"/>
      <c r="AE134" s="106">
        <f t="shared" si="344"/>
        <v>0</v>
      </c>
      <c r="AF134" s="102"/>
      <c r="AG134" s="106">
        <f t="shared" si="345"/>
        <v>0</v>
      </c>
      <c r="AH134" s="105">
        <f t="shared" si="283"/>
        <v>0</v>
      </c>
      <c r="AI134" s="105" t="str">
        <f t="shared" ref="AI134:AI135" si="349">IF(AH134&gt;=96,"Fuerte",IF(AH134&gt;=86,"Moderado",IF(AH134&gt;=1,"Débil","")))</f>
        <v/>
      </c>
      <c r="AJ134" s="107"/>
      <c r="AK134" s="105" t="str">
        <f t="shared" si="346"/>
        <v/>
      </c>
      <c r="AL134" s="105" t="str">
        <f t="shared" si="347"/>
        <v/>
      </c>
      <c r="AM134" s="105" t="str">
        <f>IFERROR(VLOOKUP(AL134,[14]FORMULAS!$B$69:$D$77,3,FALSE),"")</f>
        <v/>
      </c>
      <c r="AN134" s="105" t="str">
        <f t="shared" si="348"/>
        <v/>
      </c>
      <c r="AO134" s="105" t="str">
        <f>IFERROR(VLOOKUP(AL134,[14]FORMULAS!$B$69:$C$77,2,FALSE),"")</f>
        <v/>
      </c>
      <c r="AP134" s="359"/>
      <c r="AQ134" s="359"/>
      <c r="AR134" s="356"/>
      <c r="AS134" s="356"/>
      <c r="AT134" s="359"/>
      <c r="AU134" s="359"/>
      <c r="AV134" s="359"/>
      <c r="AW134" s="362"/>
      <c r="AX134" s="362"/>
      <c r="AY134" s="365"/>
      <c r="AZ134" s="368"/>
      <c r="BA134" s="371"/>
      <c r="BB134" s="152"/>
      <c r="BC134" s="82"/>
      <c r="BD134" s="82"/>
      <c r="BE134" s="83"/>
      <c r="BF134" s="83"/>
      <c r="BG134" s="84"/>
      <c r="BH134" s="82"/>
      <c r="BI134" s="82"/>
      <c r="BJ134" s="155"/>
    </row>
    <row r="135" spans="2:62" s="86" customFormat="1" ht="12.75" thickBot="1" x14ac:dyDescent="0.3">
      <c r="B135" s="409"/>
      <c r="C135" s="363"/>
      <c r="D135" s="375"/>
      <c r="E135" s="375"/>
      <c r="F135" s="363"/>
      <c r="G135" s="363"/>
      <c r="H135" s="375"/>
      <c r="I135" s="381"/>
      <c r="J135" s="381"/>
      <c r="K135" s="124"/>
      <c r="L135" s="167"/>
      <c r="M135" s="366"/>
      <c r="N135" s="342"/>
      <c r="O135" s="342"/>
      <c r="P135" s="366"/>
      <c r="Q135" s="372"/>
      <c r="R135" s="375"/>
      <c r="S135" s="375"/>
      <c r="T135" s="125"/>
      <c r="U135" s="126">
        <f t="shared" si="339"/>
        <v>0</v>
      </c>
      <c r="V135" s="125"/>
      <c r="W135" s="126">
        <f t="shared" si="340"/>
        <v>0</v>
      </c>
      <c r="X135" s="125"/>
      <c r="Y135" s="126">
        <f t="shared" si="341"/>
        <v>0</v>
      </c>
      <c r="Z135" s="125"/>
      <c r="AA135" s="126">
        <f t="shared" si="342"/>
        <v>0</v>
      </c>
      <c r="AB135" s="125"/>
      <c r="AC135" s="126">
        <f t="shared" si="343"/>
        <v>0</v>
      </c>
      <c r="AD135" s="125"/>
      <c r="AE135" s="126">
        <f t="shared" si="344"/>
        <v>0</v>
      </c>
      <c r="AF135" s="125"/>
      <c r="AG135" s="126">
        <f t="shared" si="345"/>
        <v>0</v>
      </c>
      <c r="AH135" s="129">
        <f t="shared" si="283"/>
        <v>0</v>
      </c>
      <c r="AI135" s="129" t="str">
        <f t="shared" si="349"/>
        <v/>
      </c>
      <c r="AJ135" s="130"/>
      <c r="AK135" s="129" t="str">
        <f t="shared" si="346"/>
        <v/>
      </c>
      <c r="AL135" s="129" t="str">
        <f t="shared" si="347"/>
        <v/>
      </c>
      <c r="AM135" s="129" t="str">
        <f>IFERROR(VLOOKUP(AL135,[14]FORMULAS!$B$69:$D$77,3,FALSE),"")</f>
        <v/>
      </c>
      <c r="AN135" s="129" t="str">
        <f t="shared" si="348"/>
        <v/>
      </c>
      <c r="AO135" s="129" t="str">
        <f>IFERROR(VLOOKUP(AL135,[14]FORMULAS!$B$69:$C$77,2,FALSE),"")</f>
        <v/>
      </c>
      <c r="AP135" s="360"/>
      <c r="AQ135" s="360"/>
      <c r="AR135" s="357"/>
      <c r="AS135" s="357"/>
      <c r="AT135" s="360"/>
      <c r="AU135" s="360"/>
      <c r="AV135" s="360"/>
      <c r="AW135" s="363"/>
      <c r="AX135" s="363"/>
      <c r="AY135" s="366"/>
      <c r="AZ135" s="369"/>
      <c r="BA135" s="372"/>
      <c r="BB135" s="131"/>
      <c r="BC135" s="132"/>
      <c r="BD135" s="132"/>
      <c r="BE135" s="161"/>
      <c r="BF135" s="162"/>
      <c r="BG135" s="139"/>
      <c r="BH135" s="132"/>
      <c r="BI135" s="132"/>
      <c r="BJ135" s="156"/>
    </row>
    <row r="136" spans="2:62" s="86" customFormat="1" ht="72" x14ac:dyDescent="0.25">
      <c r="B136" s="407" t="s">
        <v>82</v>
      </c>
      <c r="C136" s="361">
        <v>35</v>
      </c>
      <c r="D136" s="373" t="s">
        <v>913</v>
      </c>
      <c r="E136" s="373" t="s">
        <v>914</v>
      </c>
      <c r="F136" s="361" t="s">
        <v>91</v>
      </c>
      <c r="G136" s="361" t="s">
        <v>101</v>
      </c>
      <c r="H136" s="373" t="s">
        <v>915</v>
      </c>
      <c r="I136" s="379" t="s">
        <v>128</v>
      </c>
      <c r="J136" s="379" t="s">
        <v>113</v>
      </c>
      <c r="K136" s="109" t="s">
        <v>916</v>
      </c>
      <c r="L136" s="352" t="s">
        <v>917</v>
      </c>
      <c r="M136" s="364" t="str">
        <f>IF(F136="gestion","impacto",IF(F136="corrupcion","impactocorrupcion",IF(F136="seguridad_de_la_informacion","impacto","")))</f>
        <v>impacto</v>
      </c>
      <c r="N136" s="361" t="s">
        <v>18</v>
      </c>
      <c r="O136" s="361" t="s">
        <v>23</v>
      </c>
      <c r="P136" s="364" t="str">
        <f>N136&amp;O136</f>
        <v>PosibleModerado</v>
      </c>
      <c r="Q136" s="370" t="str">
        <f>IFERROR(VLOOKUP(P136,[15]FORMULAS!$B$37:$C$61,2,FALSE),"")</f>
        <v>Riesgo alto</v>
      </c>
      <c r="R136" s="373" t="s">
        <v>918</v>
      </c>
      <c r="S136" s="373"/>
      <c r="T136" s="112" t="s">
        <v>286</v>
      </c>
      <c r="U136" s="113">
        <f>IF(T136="Asignado",15,0)</f>
        <v>15</v>
      </c>
      <c r="V136" s="112" t="s">
        <v>287</v>
      </c>
      <c r="W136" s="113">
        <f>IF(V136="Adecuado",15,0)</f>
        <v>15</v>
      </c>
      <c r="X136" s="112" t="s">
        <v>288</v>
      </c>
      <c r="Y136" s="113">
        <f>IF(X136="Oportuna",15,0)</f>
        <v>15</v>
      </c>
      <c r="Z136" s="112" t="s">
        <v>341</v>
      </c>
      <c r="AA136" s="113">
        <f>IF(Z136="Prevenir",15,IF(Z136="Detectar",10,0))</f>
        <v>10</v>
      </c>
      <c r="AB136" s="112" t="s">
        <v>290</v>
      </c>
      <c r="AC136" s="113">
        <f>IF(AB136="Confiable",15,0)</f>
        <v>15</v>
      </c>
      <c r="AD136" s="112" t="s">
        <v>292</v>
      </c>
      <c r="AE136" s="113">
        <f>IF(AD136="Se investigan y resuelven oportunamente",15,0)</f>
        <v>15</v>
      </c>
      <c r="AF136" s="112" t="s">
        <v>289</v>
      </c>
      <c r="AG136" s="113">
        <f>IF(AF136="Completa",10,IF(AF136="incompleta",5,0))</f>
        <v>10</v>
      </c>
      <c r="AH136" s="116">
        <f t="shared" si="283"/>
        <v>95</v>
      </c>
      <c r="AI136" s="116" t="str">
        <f>IF(AH136&gt;=96,"Fuerte",IF(AH136&gt;=86,"Moderado",IF(AH136&gt;=1,"Débil","")))</f>
        <v>Moderado</v>
      </c>
      <c r="AJ136" s="117" t="s">
        <v>293</v>
      </c>
      <c r="AK136" s="116" t="str">
        <f>IF(AJ136="Siempre se ejecuta","Fuerte",IF(AJ136="Algunas veces","Moderado",IF(AJ136="no se ejecuta","Débil","")))</f>
        <v>Fuerte</v>
      </c>
      <c r="AL136" s="116" t="str">
        <f>AI136&amp;AK136</f>
        <v>ModeradoFuerte</v>
      </c>
      <c r="AM136" s="116" t="str">
        <f>IFERROR(VLOOKUP(AL136,[15]FORMULAS!$B$69:$D$77,3,FALSE),"")</f>
        <v>Moderado</v>
      </c>
      <c r="AN136" s="116">
        <f>IF(AM136="fuerte",100,IF(AM136="Moderado",50,IF(AM136="débil",0,"")))</f>
        <v>50</v>
      </c>
      <c r="AO136" s="116" t="str">
        <f>IFERROR(VLOOKUP(AL136,[15]FORMULAS!$B$69:$D$77,2,FALSE),"")</f>
        <v>Sí</v>
      </c>
      <c r="AP136" s="358">
        <f>IFERROR(AVERAGE(AN136:AN139),0)</f>
        <v>50</v>
      </c>
      <c r="AQ136" s="358" t="str">
        <f>IF(AP136&gt;=100,"Fuerte",IF(AP136&gt;=50,"Moderado",IF(AP136&gt;=1,"Débil","")))</f>
        <v>Moderado</v>
      </c>
      <c r="AR136" s="355" t="s">
        <v>160</v>
      </c>
      <c r="AS136" s="355" t="s">
        <v>162</v>
      </c>
      <c r="AT136" s="358" t="str">
        <f>+AQ136&amp;AR136&amp;AS136</f>
        <v>ModeradoDirectamenteIndirectamente</v>
      </c>
      <c r="AU136" s="358">
        <f>IFERROR(VLOOKUP(AT136,[15]FORMULAS!$B$94:$D$101,2,FALSE),0)</f>
        <v>1</v>
      </c>
      <c r="AV136" s="358">
        <f>IFERROR(VLOOKUP(AT136,[15]FORMULAS!$B$94:$D$101,3,FALSE),0)</f>
        <v>0</v>
      </c>
      <c r="AW136" s="361" t="s">
        <v>17</v>
      </c>
      <c r="AX136" s="361" t="s">
        <v>23</v>
      </c>
      <c r="AY136" s="364" t="str">
        <f>AW136&amp;AX136</f>
        <v>ImprobableModerado</v>
      </c>
      <c r="AZ136" s="367" t="str">
        <f>IFERROR(VLOOKUP(AY136,[15]FORMULAS!$B$37:$C$61,2,FALSE),"")</f>
        <v>Riesgo moderado</v>
      </c>
      <c r="BA136" s="370" t="s">
        <v>167</v>
      </c>
      <c r="BB136" s="153" t="s">
        <v>919</v>
      </c>
      <c r="BC136" s="119" t="s">
        <v>920</v>
      </c>
      <c r="BD136" s="160" t="s">
        <v>921</v>
      </c>
      <c r="BE136" s="160" t="s">
        <v>922</v>
      </c>
      <c r="BF136" s="302"/>
      <c r="BG136" s="119" t="s">
        <v>923</v>
      </c>
      <c r="BH136" s="119" t="s">
        <v>924</v>
      </c>
      <c r="BI136" s="160" t="s">
        <v>925</v>
      </c>
      <c r="BJ136" s="303"/>
    </row>
    <row r="137" spans="2:62" s="86" customFormat="1" ht="12" x14ac:dyDescent="0.25">
      <c r="B137" s="408"/>
      <c r="C137" s="362"/>
      <c r="D137" s="374"/>
      <c r="E137" s="374"/>
      <c r="F137" s="362"/>
      <c r="G137" s="362"/>
      <c r="H137" s="374"/>
      <c r="I137" s="380"/>
      <c r="J137" s="380"/>
      <c r="K137" s="121"/>
      <c r="L137" s="353"/>
      <c r="M137" s="365"/>
      <c r="N137" s="362"/>
      <c r="O137" s="362"/>
      <c r="P137" s="365"/>
      <c r="Q137" s="371"/>
      <c r="R137" s="374"/>
      <c r="S137" s="374"/>
      <c r="T137" s="102"/>
      <c r="U137" s="106">
        <f t="shared" ref="U137:U139" si="350">IF(T137="Asignado",15,0)</f>
        <v>0</v>
      </c>
      <c r="V137" s="102"/>
      <c r="W137" s="106">
        <f t="shared" ref="W137:W139" si="351">IF(V137="Adecuado",15,0)</f>
        <v>0</v>
      </c>
      <c r="X137" s="102"/>
      <c r="Y137" s="106">
        <f t="shared" ref="Y137:Y139" si="352">IF(X137="Oportuna",15,0)</f>
        <v>0</v>
      </c>
      <c r="Z137" s="102"/>
      <c r="AA137" s="106">
        <f t="shared" ref="AA137:AA139" si="353">IF(Z137="Prevenir",15,IF(Z137="Detectar",10,0))</f>
        <v>0</v>
      </c>
      <c r="AB137" s="102"/>
      <c r="AC137" s="106">
        <f t="shared" ref="AC137:AC139" si="354">IF(AB137="Confiable",15,0)</f>
        <v>0</v>
      </c>
      <c r="AD137" s="102"/>
      <c r="AE137" s="106">
        <f t="shared" ref="AE137:AE139" si="355">IF(AD137="Se investigan y resuelven oportunamente",15,0)</f>
        <v>0</v>
      </c>
      <c r="AF137" s="102"/>
      <c r="AG137" s="106">
        <f t="shared" ref="AG137:AG139" si="356">IF(AF137="Completa",10,IF(AF137="incompleta",5,0))</f>
        <v>0</v>
      </c>
      <c r="AH137" s="105">
        <f t="shared" si="283"/>
        <v>0</v>
      </c>
      <c r="AI137" s="105" t="str">
        <f>IF(AH137&gt;=96,"Fuerte",IF(AH137&gt;=86,"Moderado",IF(AH137&gt;=1,"Débil","")))</f>
        <v/>
      </c>
      <c r="AJ137" s="107"/>
      <c r="AK137" s="105" t="str">
        <f t="shared" ref="AK137:AK139" si="357">IF(AJ137="Siempre se ejecuta","Fuerte",IF(AJ137="Algunas veces","Moderado",IF(AJ137="no se ejecuta","Débil","")))</f>
        <v/>
      </c>
      <c r="AL137" s="105" t="str">
        <f t="shared" ref="AL137:AL139" si="358">AI137&amp;AK137</f>
        <v/>
      </c>
      <c r="AM137" s="105" t="str">
        <f>IFERROR(VLOOKUP(AL137,[15]FORMULAS!$B$69:$D$77,3,FALSE),"")</f>
        <v/>
      </c>
      <c r="AN137" s="105" t="str">
        <f t="shared" ref="AN137:AN139" si="359">IF(AM137="fuerte",100,IF(AM137="Moderado",50,IF(AM137="débil",0,"")))</f>
        <v/>
      </c>
      <c r="AO137" s="105" t="str">
        <f>IFERROR(VLOOKUP(AL137,[15]FORMULAS!$B$69:$C$77,2,FALSE),"")</f>
        <v/>
      </c>
      <c r="AP137" s="359"/>
      <c r="AQ137" s="359"/>
      <c r="AR137" s="356"/>
      <c r="AS137" s="356"/>
      <c r="AT137" s="359"/>
      <c r="AU137" s="359"/>
      <c r="AV137" s="359"/>
      <c r="AW137" s="362"/>
      <c r="AX137" s="362"/>
      <c r="AY137" s="365"/>
      <c r="AZ137" s="368"/>
      <c r="BA137" s="371"/>
      <c r="BB137" s="252"/>
      <c r="BC137" s="84"/>
      <c r="BD137" s="83"/>
      <c r="BE137" s="83"/>
      <c r="BF137" s="85"/>
      <c r="BG137" s="84"/>
      <c r="BH137" s="84"/>
      <c r="BI137" s="84"/>
      <c r="BJ137" s="304"/>
    </row>
    <row r="138" spans="2:62" s="86" customFormat="1" ht="12" x14ac:dyDescent="0.25">
      <c r="B138" s="408"/>
      <c r="C138" s="362"/>
      <c r="D138" s="374"/>
      <c r="E138" s="374"/>
      <c r="F138" s="362"/>
      <c r="G138" s="362"/>
      <c r="H138" s="374"/>
      <c r="I138" s="380"/>
      <c r="J138" s="380"/>
      <c r="K138" s="121"/>
      <c r="L138" s="353"/>
      <c r="M138" s="365"/>
      <c r="N138" s="362"/>
      <c r="O138" s="362"/>
      <c r="P138" s="365"/>
      <c r="Q138" s="371"/>
      <c r="R138" s="374"/>
      <c r="S138" s="374"/>
      <c r="T138" s="102"/>
      <c r="U138" s="106">
        <f t="shared" si="350"/>
        <v>0</v>
      </c>
      <c r="V138" s="102"/>
      <c r="W138" s="106">
        <f t="shared" si="351"/>
        <v>0</v>
      </c>
      <c r="X138" s="102"/>
      <c r="Y138" s="106">
        <f t="shared" si="352"/>
        <v>0</v>
      </c>
      <c r="Z138" s="102"/>
      <c r="AA138" s="106">
        <f t="shared" si="353"/>
        <v>0</v>
      </c>
      <c r="AB138" s="102"/>
      <c r="AC138" s="106">
        <f t="shared" si="354"/>
        <v>0</v>
      </c>
      <c r="AD138" s="102"/>
      <c r="AE138" s="106">
        <f t="shared" si="355"/>
        <v>0</v>
      </c>
      <c r="AF138" s="102"/>
      <c r="AG138" s="106">
        <f t="shared" si="356"/>
        <v>0</v>
      </c>
      <c r="AH138" s="105">
        <f t="shared" si="283"/>
        <v>0</v>
      </c>
      <c r="AI138" s="105" t="str">
        <f t="shared" ref="AI138:AI139" si="360">IF(AH138&gt;=96,"Fuerte",IF(AH138&gt;=86,"Moderado",IF(AH138&gt;=1,"Débil","")))</f>
        <v/>
      </c>
      <c r="AJ138" s="107"/>
      <c r="AK138" s="105" t="str">
        <f t="shared" si="357"/>
        <v/>
      </c>
      <c r="AL138" s="105" t="str">
        <f t="shared" si="358"/>
        <v/>
      </c>
      <c r="AM138" s="105" t="str">
        <f>IFERROR(VLOOKUP(AL138,[15]FORMULAS!$B$69:$D$77,3,FALSE),"")</f>
        <v/>
      </c>
      <c r="AN138" s="105" t="str">
        <f t="shared" si="359"/>
        <v/>
      </c>
      <c r="AO138" s="105" t="str">
        <f>IFERROR(VLOOKUP(AL138,[15]FORMULAS!$B$69:$C$77,2,FALSE),"")</f>
        <v/>
      </c>
      <c r="AP138" s="359"/>
      <c r="AQ138" s="359"/>
      <c r="AR138" s="356"/>
      <c r="AS138" s="356"/>
      <c r="AT138" s="359"/>
      <c r="AU138" s="359"/>
      <c r="AV138" s="359"/>
      <c r="AW138" s="362"/>
      <c r="AX138" s="362"/>
      <c r="AY138" s="365"/>
      <c r="AZ138" s="368"/>
      <c r="BA138" s="371"/>
      <c r="BB138" s="152"/>
      <c r="BC138" s="84"/>
      <c r="BD138" s="159"/>
      <c r="BE138" s="159"/>
      <c r="BF138" s="85"/>
      <c r="BG138" s="84"/>
      <c r="BH138" s="82"/>
      <c r="BI138" s="82"/>
      <c r="BJ138" s="155"/>
    </row>
    <row r="139" spans="2:62" s="86" customFormat="1" ht="12.75" thickBot="1" x14ac:dyDescent="0.3">
      <c r="B139" s="409"/>
      <c r="C139" s="363"/>
      <c r="D139" s="375"/>
      <c r="E139" s="375"/>
      <c r="F139" s="363"/>
      <c r="G139" s="363"/>
      <c r="H139" s="375"/>
      <c r="I139" s="381"/>
      <c r="J139" s="381"/>
      <c r="K139" s="137"/>
      <c r="L139" s="354"/>
      <c r="M139" s="366"/>
      <c r="N139" s="363"/>
      <c r="O139" s="363"/>
      <c r="P139" s="366"/>
      <c r="Q139" s="372"/>
      <c r="R139" s="375"/>
      <c r="S139" s="375"/>
      <c r="T139" s="125"/>
      <c r="U139" s="126">
        <f t="shared" si="350"/>
        <v>0</v>
      </c>
      <c r="V139" s="125"/>
      <c r="W139" s="126">
        <f t="shared" si="351"/>
        <v>0</v>
      </c>
      <c r="X139" s="125"/>
      <c r="Y139" s="126">
        <f t="shared" si="352"/>
        <v>0</v>
      </c>
      <c r="Z139" s="125"/>
      <c r="AA139" s="126">
        <f t="shared" si="353"/>
        <v>0</v>
      </c>
      <c r="AB139" s="125"/>
      <c r="AC139" s="126">
        <f t="shared" si="354"/>
        <v>0</v>
      </c>
      <c r="AD139" s="125"/>
      <c r="AE139" s="126">
        <f t="shared" si="355"/>
        <v>0</v>
      </c>
      <c r="AF139" s="125"/>
      <c r="AG139" s="126">
        <f t="shared" si="356"/>
        <v>0</v>
      </c>
      <c r="AH139" s="129">
        <f t="shared" si="283"/>
        <v>0</v>
      </c>
      <c r="AI139" s="129" t="str">
        <f t="shared" si="360"/>
        <v/>
      </c>
      <c r="AJ139" s="130"/>
      <c r="AK139" s="129" t="str">
        <f t="shared" si="357"/>
        <v/>
      </c>
      <c r="AL139" s="129" t="str">
        <f t="shared" si="358"/>
        <v/>
      </c>
      <c r="AM139" s="129" t="str">
        <f>IFERROR(VLOOKUP(AL139,[15]FORMULAS!$B$69:$D$77,3,FALSE),"")</f>
        <v/>
      </c>
      <c r="AN139" s="129" t="str">
        <f t="shared" si="359"/>
        <v/>
      </c>
      <c r="AO139" s="129" t="str">
        <f>IFERROR(VLOOKUP(AL139,[15]FORMULAS!$B$69:$C$77,2,FALSE),"")</f>
        <v/>
      </c>
      <c r="AP139" s="360"/>
      <c r="AQ139" s="360"/>
      <c r="AR139" s="357"/>
      <c r="AS139" s="357"/>
      <c r="AT139" s="360"/>
      <c r="AU139" s="360"/>
      <c r="AV139" s="360"/>
      <c r="AW139" s="363"/>
      <c r="AX139" s="363"/>
      <c r="AY139" s="366"/>
      <c r="AZ139" s="369"/>
      <c r="BA139" s="372"/>
      <c r="BB139" s="131"/>
      <c r="BC139" s="132"/>
      <c r="BD139" s="132"/>
      <c r="BE139" s="161"/>
      <c r="BF139" s="290"/>
      <c r="BG139" s="139"/>
      <c r="BH139" s="132"/>
      <c r="BI139" s="132"/>
      <c r="BJ139" s="156"/>
    </row>
    <row r="140" spans="2:62" s="86" customFormat="1" ht="20.100000000000001" customHeight="1" x14ac:dyDescent="0.25">
      <c r="B140" s="407" t="s">
        <v>82</v>
      </c>
      <c r="C140" s="361">
        <v>36</v>
      </c>
      <c r="D140" s="373" t="s">
        <v>926</v>
      </c>
      <c r="E140" s="373" t="s">
        <v>927</v>
      </c>
      <c r="F140" s="361" t="s">
        <v>89</v>
      </c>
      <c r="G140" s="361" t="s">
        <v>96</v>
      </c>
      <c r="H140" s="373" t="s">
        <v>329</v>
      </c>
      <c r="I140" s="379"/>
      <c r="J140" s="379"/>
      <c r="K140" s="109" t="s">
        <v>928</v>
      </c>
      <c r="L140" s="352" t="s">
        <v>929</v>
      </c>
      <c r="M140" s="364" t="str">
        <f>IF(F140="gestion","impacto",IF(F140="corrupcion","impactocorrupcion",IF(F140="seguridad_de_la_informacion","impacto","")))</f>
        <v>impacto</v>
      </c>
      <c r="N140" s="361" t="s">
        <v>18</v>
      </c>
      <c r="O140" s="361" t="s">
        <v>23</v>
      </c>
      <c r="P140" s="364" t="str">
        <f>N140&amp;O140</f>
        <v>PosibleModerado</v>
      </c>
      <c r="Q140" s="370" t="str">
        <f>IFERROR(VLOOKUP(P140,[15]FORMULAS!$B$37:$C$61,2,FALSE),"")</f>
        <v>Riesgo alto</v>
      </c>
      <c r="R140" s="373"/>
      <c r="S140" s="373"/>
      <c r="T140" s="112"/>
      <c r="U140" s="113">
        <f>IF(T140="Asignado",15,0)</f>
        <v>0</v>
      </c>
      <c r="V140" s="112"/>
      <c r="W140" s="113">
        <f>IF(V140="Adecuado",15,0)</f>
        <v>0</v>
      </c>
      <c r="X140" s="112"/>
      <c r="Y140" s="113">
        <f>IF(X140="Oportuna",15,0)</f>
        <v>0</v>
      </c>
      <c r="Z140" s="112"/>
      <c r="AA140" s="113">
        <f>IF(Z140="Prevenir",15,IF(Z140="Detectar",10,0))</f>
        <v>0</v>
      </c>
      <c r="AB140" s="112"/>
      <c r="AC140" s="113">
        <f>IF(AB140="Confiable",15,0)</f>
        <v>0</v>
      </c>
      <c r="AD140" s="112"/>
      <c r="AE140" s="113">
        <f>IF(AD140="Se investigan y resuelven oportunamente",15,0)</f>
        <v>0</v>
      </c>
      <c r="AF140" s="112"/>
      <c r="AG140" s="113">
        <f>IF(AF140="Completa",10,IF(AF140="incompleta",5,0))</f>
        <v>0</v>
      </c>
      <c r="AH140" s="116">
        <f t="shared" ref="AH140:AH155" si="361">U140+W140+Y140+AA140+AC140+AE140+AG140</f>
        <v>0</v>
      </c>
      <c r="AI140" s="116" t="str">
        <f>IF(AH140&gt;=96,"Fuerte",IF(AH140&gt;=86,"Moderado",IF(AH140&gt;=1,"Débil","")))</f>
        <v/>
      </c>
      <c r="AJ140" s="117"/>
      <c r="AK140" s="116" t="str">
        <f>IF(AJ140="Siempre se ejecuta","Fuerte",IF(AJ140="Algunas veces","Moderado",IF(AJ140="no se ejecuta","Débil","")))</f>
        <v/>
      </c>
      <c r="AL140" s="116" t="str">
        <f>AI140&amp;AK140</f>
        <v/>
      </c>
      <c r="AM140" s="116" t="str">
        <f>IFERROR(VLOOKUP(AL140,FORMULAS!$B$69:$D$77,3,FALSE),"")</f>
        <v/>
      </c>
      <c r="AN140" s="116" t="str">
        <f>IF(AM140="fuerte",100,IF(AM140="Moderado",50,IF(AM140="débil",0,"")))</f>
        <v/>
      </c>
      <c r="AO140" s="116" t="str">
        <f>IFERROR(VLOOKUP(AL140,FORMULAS!$B$69:$D$77,2,FALSE),"")</f>
        <v/>
      </c>
      <c r="AP140" s="358">
        <f>IFERROR(AVERAGE(AN140:AN143),0)</f>
        <v>0</v>
      </c>
      <c r="AQ140" s="358" t="str">
        <f>IF(AP140&gt;=100,"Fuerte",IF(AP140&gt;=50,"Moderado",IF(AP140&gt;=1,"Débil","")))</f>
        <v/>
      </c>
      <c r="AR140" s="355"/>
      <c r="AS140" s="355"/>
      <c r="AT140" s="358" t="str">
        <f>+AQ140&amp;AR140&amp;AS140</f>
        <v/>
      </c>
      <c r="AU140" s="358">
        <f>IFERROR(VLOOKUP(AT140,FORMULAS!$B$94:$D$101,2,FALSE),0)</f>
        <v>0</v>
      </c>
      <c r="AV140" s="358">
        <f>IFERROR(VLOOKUP(AT140,FORMULAS!$B$94:$D$101,3,FALSE),0)</f>
        <v>0</v>
      </c>
      <c r="AW140" s="361" t="s">
        <v>18</v>
      </c>
      <c r="AX140" s="361" t="s">
        <v>23</v>
      </c>
      <c r="AY140" s="364" t="str">
        <f>AW140&amp;AX140</f>
        <v>PosibleModerado</v>
      </c>
      <c r="AZ140" s="367" t="str">
        <f>IFERROR(VLOOKUP(AY140,FORMULAS!$B$37:$C$61,2,FALSE),"")</f>
        <v>Riesgo alto</v>
      </c>
      <c r="BA140" s="370" t="s">
        <v>167</v>
      </c>
      <c r="BB140" s="119" t="s">
        <v>931</v>
      </c>
      <c r="BC140" s="119" t="s">
        <v>932</v>
      </c>
      <c r="BD140" s="119" t="s">
        <v>933</v>
      </c>
      <c r="BE140" s="160" t="s">
        <v>922</v>
      </c>
      <c r="BF140" s="292"/>
      <c r="BG140" s="119" t="s">
        <v>934</v>
      </c>
      <c r="BH140" s="119" t="s">
        <v>935</v>
      </c>
      <c r="BI140" s="119" t="s">
        <v>933</v>
      </c>
      <c r="BJ140" s="154" t="s">
        <v>685</v>
      </c>
    </row>
    <row r="141" spans="2:62" s="86" customFormat="1" ht="20.100000000000001" customHeight="1" x14ac:dyDescent="0.25">
      <c r="B141" s="408"/>
      <c r="C141" s="362"/>
      <c r="D141" s="374"/>
      <c r="E141" s="374"/>
      <c r="F141" s="362"/>
      <c r="G141" s="362"/>
      <c r="H141" s="374"/>
      <c r="I141" s="380"/>
      <c r="J141" s="380"/>
      <c r="K141" s="169" t="s">
        <v>930</v>
      </c>
      <c r="L141" s="353"/>
      <c r="M141" s="365"/>
      <c r="N141" s="362"/>
      <c r="O141" s="362"/>
      <c r="P141" s="365"/>
      <c r="Q141" s="371"/>
      <c r="R141" s="374"/>
      <c r="S141" s="374"/>
      <c r="T141" s="102"/>
      <c r="U141" s="106">
        <f t="shared" ref="U141:U143" si="362">IF(T141="Asignado",15,0)</f>
        <v>0</v>
      </c>
      <c r="V141" s="102"/>
      <c r="W141" s="106">
        <f t="shared" ref="W141:W143" si="363">IF(V141="Adecuado",15,0)</f>
        <v>0</v>
      </c>
      <c r="X141" s="102"/>
      <c r="Y141" s="106">
        <f t="shared" ref="Y141:Y143" si="364">IF(X141="Oportuna",15,0)</f>
        <v>0</v>
      </c>
      <c r="Z141" s="102"/>
      <c r="AA141" s="106">
        <f t="shared" ref="AA141:AA143" si="365">IF(Z141="Prevenir",15,IF(Z141="Detectar",10,0))</f>
        <v>0</v>
      </c>
      <c r="AB141" s="102"/>
      <c r="AC141" s="106">
        <f t="shared" ref="AC141:AC143" si="366">IF(AB141="Confiable",15,0)</f>
        <v>0</v>
      </c>
      <c r="AD141" s="102"/>
      <c r="AE141" s="106">
        <f t="shared" ref="AE141:AE143" si="367">IF(AD141="Se investigan y resuelven oportunamente",15,0)</f>
        <v>0</v>
      </c>
      <c r="AF141" s="102"/>
      <c r="AG141" s="106">
        <f t="shared" ref="AG141:AG143" si="368">IF(AF141="Completa",10,IF(AF141="incompleta",5,0))</f>
        <v>0</v>
      </c>
      <c r="AH141" s="105">
        <f t="shared" si="361"/>
        <v>0</v>
      </c>
      <c r="AI141" s="105" t="str">
        <f>IF(AH141&gt;=96,"Fuerte",IF(AH141&gt;=86,"Moderado",IF(AH141&gt;=1,"Débil","")))</f>
        <v/>
      </c>
      <c r="AJ141" s="107"/>
      <c r="AK141" s="105" t="str">
        <f t="shared" ref="AK141:AK143" si="369">IF(AJ141="Siempre se ejecuta","Fuerte",IF(AJ141="Algunas veces","Moderado",IF(AJ141="no se ejecuta","Débil","")))</f>
        <v/>
      </c>
      <c r="AL141" s="105" t="str">
        <f t="shared" ref="AL141:AL143" si="370">AI141&amp;AK141</f>
        <v/>
      </c>
      <c r="AM141" s="105" t="str">
        <f>IFERROR(VLOOKUP(AL141,FORMULAS!$B$69:$D$77,3,FALSE),"")</f>
        <v/>
      </c>
      <c r="AN141" s="105" t="str">
        <f t="shared" ref="AN141:AN143" si="371">IF(AM141="fuerte",100,IF(AM141="Moderado",50,IF(AM141="débil",0,"")))</f>
        <v/>
      </c>
      <c r="AO141" s="105" t="str">
        <f>IFERROR(VLOOKUP(AL141,FORMULAS!$B$69:$C$77,2,FALSE),"")</f>
        <v/>
      </c>
      <c r="AP141" s="359"/>
      <c r="AQ141" s="359"/>
      <c r="AR141" s="356"/>
      <c r="AS141" s="356"/>
      <c r="AT141" s="359"/>
      <c r="AU141" s="359"/>
      <c r="AV141" s="359"/>
      <c r="AW141" s="362"/>
      <c r="AX141" s="362"/>
      <c r="AY141" s="365"/>
      <c r="AZ141" s="368"/>
      <c r="BA141" s="371"/>
      <c r="BB141" s="84" t="s">
        <v>936</v>
      </c>
      <c r="BC141" s="84" t="s">
        <v>937</v>
      </c>
      <c r="BD141" s="84" t="s">
        <v>933</v>
      </c>
      <c r="BE141" s="83" t="s">
        <v>938</v>
      </c>
      <c r="BF141" s="85"/>
      <c r="BG141" s="84" t="s">
        <v>939</v>
      </c>
      <c r="BH141" s="84" t="s">
        <v>940</v>
      </c>
      <c r="BI141" s="84" t="s">
        <v>933</v>
      </c>
      <c r="BJ141" s="155" t="s">
        <v>685</v>
      </c>
    </row>
    <row r="142" spans="2:62" s="86" customFormat="1" ht="20.100000000000001" customHeight="1" x14ac:dyDescent="0.25">
      <c r="B142" s="408"/>
      <c r="C142" s="362"/>
      <c r="D142" s="374"/>
      <c r="E142" s="374"/>
      <c r="F142" s="362"/>
      <c r="G142" s="362"/>
      <c r="H142" s="374"/>
      <c r="I142" s="380"/>
      <c r="J142" s="380"/>
      <c r="K142" s="169"/>
      <c r="L142" s="353"/>
      <c r="M142" s="365"/>
      <c r="N142" s="362"/>
      <c r="O142" s="362"/>
      <c r="P142" s="365"/>
      <c r="Q142" s="371"/>
      <c r="R142" s="374"/>
      <c r="S142" s="374"/>
      <c r="T142" s="102"/>
      <c r="U142" s="106">
        <f t="shared" si="362"/>
        <v>0</v>
      </c>
      <c r="V142" s="102"/>
      <c r="W142" s="106">
        <f t="shared" si="363"/>
        <v>0</v>
      </c>
      <c r="X142" s="102"/>
      <c r="Y142" s="106">
        <f t="shared" si="364"/>
        <v>0</v>
      </c>
      <c r="Z142" s="102"/>
      <c r="AA142" s="106">
        <f t="shared" si="365"/>
        <v>0</v>
      </c>
      <c r="AB142" s="102"/>
      <c r="AC142" s="106">
        <f t="shared" si="366"/>
        <v>0</v>
      </c>
      <c r="AD142" s="102"/>
      <c r="AE142" s="106">
        <f t="shared" si="367"/>
        <v>0</v>
      </c>
      <c r="AF142" s="102"/>
      <c r="AG142" s="106">
        <f t="shared" si="368"/>
        <v>0</v>
      </c>
      <c r="AH142" s="105">
        <f t="shared" si="361"/>
        <v>0</v>
      </c>
      <c r="AI142" s="105" t="str">
        <f t="shared" ref="AI142:AI143" si="372">IF(AH142&gt;=96,"Fuerte",IF(AH142&gt;=86,"Moderado",IF(AH142&gt;=1,"Débil","")))</f>
        <v/>
      </c>
      <c r="AJ142" s="107"/>
      <c r="AK142" s="105" t="str">
        <f t="shared" si="369"/>
        <v/>
      </c>
      <c r="AL142" s="105" t="str">
        <f t="shared" si="370"/>
        <v/>
      </c>
      <c r="AM142" s="105" t="str">
        <f>IFERROR(VLOOKUP(AL142,FORMULAS!$B$69:$D$77,3,FALSE),"")</f>
        <v/>
      </c>
      <c r="AN142" s="105" t="str">
        <f t="shared" si="371"/>
        <v/>
      </c>
      <c r="AO142" s="105" t="str">
        <f>IFERROR(VLOOKUP(AL142,FORMULAS!$B$69:$C$77,2,FALSE),"")</f>
        <v/>
      </c>
      <c r="AP142" s="359"/>
      <c r="AQ142" s="359"/>
      <c r="AR142" s="356"/>
      <c r="AS142" s="356"/>
      <c r="AT142" s="359"/>
      <c r="AU142" s="359"/>
      <c r="AV142" s="359"/>
      <c r="AW142" s="362"/>
      <c r="AX142" s="362"/>
      <c r="AY142" s="365"/>
      <c r="AZ142" s="368"/>
      <c r="BA142" s="371"/>
      <c r="BB142" s="152"/>
      <c r="BC142" s="82"/>
      <c r="BD142" s="82"/>
      <c r="BE142" s="83"/>
      <c r="BF142" s="85"/>
      <c r="BG142" s="84"/>
      <c r="BH142" s="82"/>
      <c r="BI142" s="82"/>
      <c r="BJ142" s="155"/>
    </row>
    <row r="143" spans="2:62" s="86" customFormat="1" ht="20.100000000000001" customHeight="1" thickBot="1" x14ac:dyDescent="0.3">
      <c r="B143" s="409"/>
      <c r="C143" s="363"/>
      <c r="D143" s="375"/>
      <c r="E143" s="375"/>
      <c r="F143" s="363"/>
      <c r="G143" s="363"/>
      <c r="H143" s="375"/>
      <c r="I143" s="381"/>
      <c r="J143" s="381"/>
      <c r="K143" s="124"/>
      <c r="L143" s="354"/>
      <c r="M143" s="366"/>
      <c r="N143" s="363"/>
      <c r="O143" s="363"/>
      <c r="P143" s="366"/>
      <c r="Q143" s="372"/>
      <c r="R143" s="375"/>
      <c r="S143" s="375"/>
      <c r="T143" s="125"/>
      <c r="U143" s="126">
        <f t="shared" si="362"/>
        <v>0</v>
      </c>
      <c r="V143" s="125"/>
      <c r="W143" s="126">
        <f t="shared" si="363"/>
        <v>0</v>
      </c>
      <c r="X143" s="125"/>
      <c r="Y143" s="126">
        <f t="shared" si="364"/>
        <v>0</v>
      </c>
      <c r="Z143" s="125"/>
      <c r="AA143" s="126">
        <f t="shared" si="365"/>
        <v>0</v>
      </c>
      <c r="AB143" s="125"/>
      <c r="AC143" s="126">
        <f t="shared" si="366"/>
        <v>0</v>
      </c>
      <c r="AD143" s="125"/>
      <c r="AE143" s="126">
        <f t="shared" si="367"/>
        <v>0</v>
      </c>
      <c r="AF143" s="125"/>
      <c r="AG143" s="126">
        <f t="shared" si="368"/>
        <v>0</v>
      </c>
      <c r="AH143" s="129">
        <f t="shared" si="361"/>
        <v>0</v>
      </c>
      <c r="AI143" s="129" t="str">
        <f t="shared" si="372"/>
        <v/>
      </c>
      <c r="AJ143" s="130"/>
      <c r="AK143" s="129" t="str">
        <f t="shared" si="369"/>
        <v/>
      </c>
      <c r="AL143" s="129" t="str">
        <f t="shared" si="370"/>
        <v/>
      </c>
      <c r="AM143" s="129" t="str">
        <f>IFERROR(VLOOKUP(AL143,FORMULAS!$B$69:$D$77,3,FALSE),"")</f>
        <v/>
      </c>
      <c r="AN143" s="129" t="str">
        <f t="shared" si="371"/>
        <v/>
      </c>
      <c r="AO143" s="129" t="str">
        <f>IFERROR(VLOOKUP(AL143,FORMULAS!$B$69:$C$77,2,FALSE),"")</f>
        <v/>
      </c>
      <c r="AP143" s="360"/>
      <c r="AQ143" s="360"/>
      <c r="AR143" s="357"/>
      <c r="AS143" s="357"/>
      <c r="AT143" s="360"/>
      <c r="AU143" s="360"/>
      <c r="AV143" s="360"/>
      <c r="AW143" s="363"/>
      <c r="AX143" s="363"/>
      <c r="AY143" s="366"/>
      <c r="AZ143" s="369"/>
      <c r="BA143" s="372"/>
      <c r="BB143" s="131"/>
      <c r="BC143" s="132"/>
      <c r="BD143" s="132"/>
      <c r="BE143" s="161"/>
      <c r="BF143" s="290"/>
      <c r="BG143" s="139"/>
      <c r="BH143" s="132"/>
      <c r="BI143" s="132"/>
      <c r="BJ143" s="156"/>
    </row>
    <row r="144" spans="2:62" s="86" customFormat="1" ht="60" x14ac:dyDescent="0.25">
      <c r="B144" s="407" t="s">
        <v>82</v>
      </c>
      <c r="C144" s="361">
        <v>37</v>
      </c>
      <c r="D144" s="373" t="s">
        <v>941</v>
      </c>
      <c r="E144" s="373" t="s">
        <v>942</v>
      </c>
      <c r="F144" s="361" t="s">
        <v>89</v>
      </c>
      <c r="G144" s="361" t="s">
        <v>96</v>
      </c>
      <c r="H144" s="373" t="s">
        <v>329</v>
      </c>
      <c r="I144" s="379"/>
      <c r="J144" s="379"/>
      <c r="K144" s="109" t="s">
        <v>943</v>
      </c>
      <c r="L144" s="352" t="s">
        <v>944</v>
      </c>
      <c r="M144" s="364" t="str">
        <f>IF(F144="gestion","impacto",IF(F144="corrupcion","impactocorrupcion",IF(F144="seguridad_de_la_informacion","impacto","")))</f>
        <v>impacto</v>
      </c>
      <c r="N144" s="361" t="s">
        <v>135</v>
      </c>
      <c r="O144" s="361" t="s">
        <v>22</v>
      </c>
      <c r="P144" s="364" t="str">
        <f>N144&amp;O144</f>
        <v>Casi seguroMenor</v>
      </c>
      <c r="Q144" s="370" t="str">
        <f>IFERROR(VLOOKUP(P144,[15]FORMULAS!$B$37:$C$61,2,FALSE),"")</f>
        <v>Riesgo alto</v>
      </c>
      <c r="R144" s="373" t="s">
        <v>945</v>
      </c>
      <c r="S144" s="373"/>
      <c r="T144" s="112" t="s">
        <v>286</v>
      </c>
      <c r="U144" s="113">
        <f>IF(T144="Asignado",15,0)</f>
        <v>15</v>
      </c>
      <c r="V144" s="112" t="s">
        <v>287</v>
      </c>
      <c r="W144" s="113">
        <f>IF(V144="Adecuado",15,0)</f>
        <v>15</v>
      </c>
      <c r="X144" s="112" t="s">
        <v>288</v>
      </c>
      <c r="Y144" s="113">
        <f>IF(X144="Oportuna",15,0)</f>
        <v>15</v>
      </c>
      <c r="Z144" s="112" t="s">
        <v>291</v>
      </c>
      <c r="AA144" s="113">
        <f>IF(Z144="Prevenir",15,IF(Z144="Detectar",10,0))</f>
        <v>15</v>
      </c>
      <c r="AB144" s="112" t="s">
        <v>290</v>
      </c>
      <c r="AC144" s="113">
        <f>IF(AB144="Confiable",15,0)</f>
        <v>15</v>
      </c>
      <c r="AD144" s="112" t="s">
        <v>292</v>
      </c>
      <c r="AE144" s="113">
        <f>IF(AD144="Se investigan y resuelven oportunamente",15,0)</f>
        <v>15</v>
      </c>
      <c r="AF144" s="112" t="s">
        <v>289</v>
      </c>
      <c r="AG144" s="113">
        <f>IF(AF144="Completa",10,IF(AF144="incompleta",5,0))</f>
        <v>10</v>
      </c>
      <c r="AH144" s="116">
        <f t="shared" si="361"/>
        <v>100</v>
      </c>
      <c r="AI144" s="116" t="str">
        <f>IF(AH144&gt;=96,"Fuerte",IF(AH144&gt;=86,"Moderado",IF(AH144&gt;=1,"Débil","")))</f>
        <v>Fuerte</v>
      </c>
      <c r="AJ144" s="117" t="s">
        <v>293</v>
      </c>
      <c r="AK144" s="116" t="str">
        <f>IF(AJ144="Siempre se ejecuta","Fuerte",IF(AJ144="Algunas veces","Moderado",IF(AJ144="no se ejecuta","Débil","")))</f>
        <v>Fuerte</v>
      </c>
      <c r="AL144" s="116" t="str">
        <f>AI144&amp;AK144</f>
        <v>FuerteFuerte</v>
      </c>
      <c r="AM144" s="116" t="str">
        <f>IFERROR(VLOOKUP(AL144,[15]FORMULAS!$B$69:$D$77,3,FALSE),"")</f>
        <v>Fuerte</v>
      </c>
      <c r="AN144" s="116">
        <f>IF(AM144="fuerte",100,IF(AM144="Moderado",50,IF(AM144="débil",0,"")))</f>
        <v>100</v>
      </c>
      <c r="AO144" s="116" t="str">
        <f>IFERROR(VLOOKUP(AL144,[15]FORMULAS!$B$69:$D$77,2,FALSE),"")</f>
        <v>No</v>
      </c>
      <c r="AP144" s="358">
        <f>IFERROR(AVERAGE(AN144:AN147),0)</f>
        <v>100</v>
      </c>
      <c r="AQ144" s="358" t="str">
        <f>IF(AP144&gt;=100,"Fuerte",IF(AP144&gt;=50,"Moderado",IF(AP144&gt;=1,"Débil","")))</f>
        <v>Fuerte</v>
      </c>
      <c r="AR144" s="355" t="s">
        <v>160</v>
      </c>
      <c r="AS144" s="355" t="s">
        <v>162</v>
      </c>
      <c r="AT144" s="358" t="str">
        <f>+AQ144&amp;AR144&amp;AS144</f>
        <v>FuerteDirectamenteIndirectamente</v>
      </c>
      <c r="AU144" s="358">
        <f>IFERROR(VLOOKUP(AT144,[15]FORMULAS!$B$94:$D$101,2,FALSE),0)</f>
        <v>2</v>
      </c>
      <c r="AV144" s="358">
        <f>IFERROR(VLOOKUP(AT144,[15]FORMULAS!$B$94:$D$101,3,FALSE),0)</f>
        <v>1</v>
      </c>
      <c r="AW144" s="361" t="s">
        <v>18</v>
      </c>
      <c r="AX144" s="361" t="s">
        <v>21</v>
      </c>
      <c r="AY144" s="364" t="str">
        <f>AW144&amp;AX144</f>
        <v>PosibleInsignificante</v>
      </c>
      <c r="AZ144" s="367" t="str">
        <f>IFERROR(VLOOKUP(AY144,[15]FORMULAS!$B$37:$C$61,2,FALSE),"")</f>
        <v>Riesgo bajo</v>
      </c>
      <c r="BA144" s="370" t="s">
        <v>167</v>
      </c>
      <c r="BB144" s="153" t="s">
        <v>946</v>
      </c>
      <c r="BC144" s="119" t="s">
        <v>947</v>
      </c>
      <c r="BD144" s="200" t="s">
        <v>948</v>
      </c>
      <c r="BE144" s="160" t="s">
        <v>949</v>
      </c>
      <c r="BF144" s="292"/>
      <c r="BG144" s="119" t="s">
        <v>950</v>
      </c>
      <c r="BH144" s="119" t="s">
        <v>951</v>
      </c>
      <c r="BI144" s="200" t="s">
        <v>948</v>
      </c>
      <c r="BJ144" s="154" t="s">
        <v>952</v>
      </c>
    </row>
    <row r="145" spans="2:62" s="86" customFormat="1" ht="12" x14ac:dyDescent="0.25">
      <c r="B145" s="408"/>
      <c r="C145" s="362"/>
      <c r="D145" s="374"/>
      <c r="E145" s="374"/>
      <c r="F145" s="362"/>
      <c r="G145" s="362"/>
      <c r="H145" s="374"/>
      <c r="I145" s="380"/>
      <c r="J145" s="380"/>
      <c r="K145" s="121"/>
      <c r="L145" s="353"/>
      <c r="M145" s="365"/>
      <c r="N145" s="362"/>
      <c r="O145" s="362"/>
      <c r="P145" s="365"/>
      <c r="Q145" s="371"/>
      <c r="R145" s="465"/>
      <c r="S145" s="465"/>
      <c r="T145" s="102"/>
      <c r="U145" s="106">
        <f t="shared" ref="U145:U147" si="373">IF(T145="Asignado",15,0)</f>
        <v>0</v>
      </c>
      <c r="V145" s="102"/>
      <c r="W145" s="106">
        <f t="shared" ref="W145:W147" si="374">IF(V145="Adecuado",15,0)</f>
        <v>0</v>
      </c>
      <c r="X145" s="102"/>
      <c r="Y145" s="106">
        <f t="shared" ref="Y145:Y147" si="375">IF(X145="Oportuna",15,0)</f>
        <v>0</v>
      </c>
      <c r="Z145" s="102"/>
      <c r="AA145" s="106">
        <f t="shared" ref="AA145:AA147" si="376">IF(Z145="Prevenir",15,IF(Z145="Detectar",10,0))</f>
        <v>0</v>
      </c>
      <c r="AB145" s="102"/>
      <c r="AC145" s="106">
        <f t="shared" ref="AC145:AC147" si="377">IF(AB145="Confiable",15,0)</f>
        <v>0</v>
      </c>
      <c r="AD145" s="102"/>
      <c r="AE145" s="106">
        <f t="shared" ref="AE145:AE147" si="378">IF(AD145="Se investigan y resuelven oportunamente",15,0)</f>
        <v>0</v>
      </c>
      <c r="AF145" s="102"/>
      <c r="AG145" s="106">
        <f t="shared" ref="AG145:AG147" si="379">IF(AF145="Completa",10,IF(AF145="incompleta",5,0))</f>
        <v>0</v>
      </c>
      <c r="AH145" s="105">
        <f t="shared" si="361"/>
        <v>0</v>
      </c>
      <c r="AI145" s="105" t="str">
        <f>IF(AH145&gt;=96,"Fuerte",IF(AH145&gt;=86,"Moderado",IF(AH145&gt;=1,"Débil","")))</f>
        <v/>
      </c>
      <c r="AJ145" s="107"/>
      <c r="AK145" s="105" t="str">
        <f t="shared" ref="AK145:AK147" si="380">IF(AJ145="Siempre se ejecuta","Fuerte",IF(AJ145="Algunas veces","Moderado",IF(AJ145="no se ejecuta","Débil","")))</f>
        <v/>
      </c>
      <c r="AL145" s="105" t="str">
        <f t="shared" ref="AL145:AL147" si="381">AI145&amp;AK145</f>
        <v/>
      </c>
      <c r="AM145" s="105" t="str">
        <f>IFERROR(VLOOKUP(AL145,[15]FORMULAS!$B$69:$D$77,3,FALSE),"")</f>
        <v/>
      </c>
      <c r="AN145" s="105" t="str">
        <f t="shared" ref="AN145:AN147" si="382">IF(AM145="fuerte",100,IF(AM145="Moderado",50,IF(AM145="débil",0,"")))</f>
        <v/>
      </c>
      <c r="AO145" s="105" t="str">
        <f>IFERROR(VLOOKUP(AL145,[15]FORMULAS!$B$69:$C$77,2,FALSE),"")</f>
        <v/>
      </c>
      <c r="AP145" s="359"/>
      <c r="AQ145" s="359"/>
      <c r="AR145" s="356"/>
      <c r="AS145" s="356"/>
      <c r="AT145" s="359"/>
      <c r="AU145" s="359"/>
      <c r="AV145" s="359"/>
      <c r="AW145" s="362"/>
      <c r="AX145" s="362"/>
      <c r="AY145" s="365"/>
      <c r="AZ145" s="368"/>
      <c r="BA145" s="371"/>
      <c r="BB145" s="152"/>
      <c r="BC145" s="82"/>
      <c r="BD145" s="82"/>
      <c r="BE145" s="83"/>
      <c r="BF145" s="85"/>
      <c r="BG145" s="84"/>
      <c r="BH145" s="82"/>
      <c r="BI145" s="82"/>
      <c r="BJ145" s="155"/>
    </row>
    <row r="146" spans="2:62" s="86" customFormat="1" ht="12" x14ac:dyDescent="0.25">
      <c r="B146" s="408"/>
      <c r="C146" s="362"/>
      <c r="D146" s="374"/>
      <c r="E146" s="374"/>
      <c r="F146" s="362"/>
      <c r="G146" s="362"/>
      <c r="H146" s="374"/>
      <c r="I146" s="380"/>
      <c r="J146" s="380"/>
      <c r="K146" s="80"/>
      <c r="L146" s="353"/>
      <c r="M146" s="365"/>
      <c r="N146" s="362"/>
      <c r="O146" s="362"/>
      <c r="P146" s="365"/>
      <c r="Q146" s="371"/>
      <c r="R146" s="374"/>
      <c r="S146" s="374"/>
      <c r="T146" s="102"/>
      <c r="U146" s="106">
        <f t="shared" si="373"/>
        <v>0</v>
      </c>
      <c r="V146" s="102"/>
      <c r="W146" s="106">
        <f t="shared" si="374"/>
        <v>0</v>
      </c>
      <c r="X146" s="102"/>
      <c r="Y146" s="106">
        <f t="shared" si="375"/>
        <v>0</v>
      </c>
      <c r="Z146" s="102"/>
      <c r="AA146" s="106">
        <f t="shared" si="376"/>
        <v>0</v>
      </c>
      <c r="AB146" s="102"/>
      <c r="AC146" s="106">
        <f t="shared" si="377"/>
        <v>0</v>
      </c>
      <c r="AD146" s="102"/>
      <c r="AE146" s="106">
        <f t="shared" si="378"/>
        <v>0</v>
      </c>
      <c r="AF146" s="102"/>
      <c r="AG146" s="106">
        <f t="shared" si="379"/>
        <v>0</v>
      </c>
      <c r="AH146" s="105">
        <f t="shared" si="361"/>
        <v>0</v>
      </c>
      <c r="AI146" s="105" t="str">
        <f t="shared" ref="AI146:AI151" si="383">IF(AH146&gt;=96,"Fuerte",IF(AH146&gt;=86,"Moderado",IF(AH146&gt;=1,"Débil","")))</f>
        <v/>
      </c>
      <c r="AJ146" s="107"/>
      <c r="AK146" s="105" t="str">
        <f t="shared" si="380"/>
        <v/>
      </c>
      <c r="AL146" s="105" t="str">
        <f t="shared" si="381"/>
        <v/>
      </c>
      <c r="AM146" s="105" t="str">
        <f>IFERROR(VLOOKUP(AL146,[15]FORMULAS!$B$69:$D$77,3,FALSE),"")</f>
        <v/>
      </c>
      <c r="AN146" s="105" t="str">
        <f t="shared" si="382"/>
        <v/>
      </c>
      <c r="AO146" s="105" t="str">
        <f>IFERROR(VLOOKUP(AL146,[15]FORMULAS!$B$69:$C$77,2,FALSE),"")</f>
        <v/>
      </c>
      <c r="AP146" s="359"/>
      <c r="AQ146" s="359"/>
      <c r="AR146" s="356"/>
      <c r="AS146" s="356"/>
      <c r="AT146" s="359"/>
      <c r="AU146" s="359"/>
      <c r="AV146" s="359"/>
      <c r="AW146" s="362"/>
      <c r="AX146" s="362"/>
      <c r="AY146" s="365"/>
      <c r="AZ146" s="368"/>
      <c r="BA146" s="371"/>
      <c r="BB146" s="152"/>
      <c r="BC146" s="82"/>
      <c r="BD146" s="82"/>
      <c r="BE146" s="83"/>
      <c r="BF146" s="85"/>
      <c r="BG146" s="84"/>
      <c r="BH146" s="82"/>
      <c r="BI146" s="82"/>
      <c r="BJ146" s="155"/>
    </row>
    <row r="147" spans="2:62" s="86" customFormat="1" ht="12.75" thickBot="1" x14ac:dyDescent="0.3">
      <c r="B147" s="409"/>
      <c r="C147" s="363"/>
      <c r="D147" s="375"/>
      <c r="E147" s="375"/>
      <c r="F147" s="363"/>
      <c r="G147" s="363"/>
      <c r="H147" s="375"/>
      <c r="I147" s="381"/>
      <c r="J147" s="381"/>
      <c r="K147" s="124"/>
      <c r="L147" s="354"/>
      <c r="M147" s="366"/>
      <c r="N147" s="363"/>
      <c r="O147" s="363"/>
      <c r="P147" s="366"/>
      <c r="Q147" s="372"/>
      <c r="R147" s="375"/>
      <c r="S147" s="375"/>
      <c r="T147" s="125"/>
      <c r="U147" s="126">
        <f t="shared" si="373"/>
        <v>0</v>
      </c>
      <c r="V147" s="125"/>
      <c r="W147" s="126">
        <f t="shared" si="374"/>
        <v>0</v>
      </c>
      <c r="X147" s="125"/>
      <c r="Y147" s="126">
        <f t="shared" si="375"/>
        <v>0</v>
      </c>
      <c r="Z147" s="125"/>
      <c r="AA147" s="126">
        <f t="shared" si="376"/>
        <v>0</v>
      </c>
      <c r="AB147" s="125"/>
      <c r="AC147" s="126">
        <f t="shared" si="377"/>
        <v>0</v>
      </c>
      <c r="AD147" s="125"/>
      <c r="AE147" s="126">
        <f t="shared" si="378"/>
        <v>0</v>
      </c>
      <c r="AF147" s="125"/>
      <c r="AG147" s="126">
        <f t="shared" si="379"/>
        <v>0</v>
      </c>
      <c r="AH147" s="129">
        <f t="shared" si="361"/>
        <v>0</v>
      </c>
      <c r="AI147" s="129" t="str">
        <f t="shared" si="383"/>
        <v/>
      </c>
      <c r="AJ147" s="130"/>
      <c r="AK147" s="129" t="str">
        <f t="shared" si="380"/>
        <v/>
      </c>
      <c r="AL147" s="129" t="str">
        <f t="shared" si="381"/>
        <v/>
      </c>
      <c r="AM147" s="129" t="str">
        <f>IFERROR(VLOOKUP(AL147,[15]FORMULAS!$B$69:$D$77,3,FALSE),"")</f>
        <v/>
      </c>
      <c r="AN147" s="129" t="str">
        <f t="shared" si="382"/>
        <v/>
      </c>
      <c r="AO147" s="129" t="str">
        <f>IFERROR(VLOOKUP(AL147,[15]FORMULAS!$B$69:$C$77,2,FALSE),"")</f>
        <v/>
      </c>
      <c r="AP147" s="360"/>
      <c r="AQ147" s="360"/>
      <c r="AR147" s="357"/>
      <c r="AS147" s="357"/>
      <c r="AT147" s="360"/>
      <c r="AU147" s="360"/>
      <c r="AV147" s="360"/>
      <c r="AW147" s="363"/>
      <c r="AX147" s="363"/>
      <c r="AY147" s="366"/>
      <c r="AZ147" s="369"/>
      <c r="BA147" s="372"/>
      <c r="BB147" s="131"/>
      <c r="BC147" s="132"/>
      <c r="BD147" s="132"/>
      <c r="BE147" s="161"/>
      <c r="BF147" s="162"/>
      <c r="BG147" s="139"/>
      <c r="BH147" s="132"/>
      <c r="BI147" s="132"/>
      <c r="BJ147" s="156"/>
    </row>
    <row r="148" spans="2:62" s="86" customFormat="1" ht="36" x14ac:dyDescent="0.25">
      <c r="B148" s="376" t="s">
        <v>83</v>
      </c>
      <c r="C148" s="361">
        <v>38</v>
      </c>
      <c r="D148" s="373" t="s">
        <v>953</v>
      </c>
      <c r="E148" s="373" t="s">
        <v>954</v>
      </c>
      <c r="F148" s="361" t="s">
        <v>89</v>
      </c>
      <c r="G148" s="361" t="s">
        <v>96</v>
      </c>
      <c r="H148" s="373" t="s">
        <v>955</v>
      </c>
      <c r="I148" s="379"/>
      <c r="J148" s="379"/>
      <c r="K148" s="109" t="s">
        <v>956</v>
      </c>
      <c r="L148" s="352" t="s">
        <v>957</v>
      </c>
      <c r="M148" s="364" t="str">
        <f>IF(F148="gestion","impacto",IF(F148="corrupcion","impactocorrupcion",IF(F148="seguridad_de_la_informacion","impacto","")))</f>
        <v>impacto</v>
      </c>
      <c r="N148" s="361" t="s">
        <v>18</v>
      </c>
      <c r="O148" s="361" t="s">
        <v>24</v>
      </c>
      <c r="P148" s="364" t="str">
        <f>N148&amp;O148</f>
        <v>PosibleMayor</v>
      </c>
      <c r="Q148" s="370" t="str">
        <f>IFERROR(VLOOKUP(P148,[16]FORMULAS!$B$37:$C$61,2,FALSE),"")</f>
        <v>Riesgo extremo</v>
      </c>
      <c r="R148" s="373" t="s">
        <v>958</v>
      </c>
      <c r="S148" s="373"/>
      <c r="T148" s="112" t="s">
        <v>286</v>
      </c>
      <c r="U148" s="113">
        <f>IF(T148="Asignado",15,0)</f>
        <v>15</v>
      </c>
      <c r="V148" s="112" t="s">
        <v>287</v>
      </c>
      <c r="W148" s="113">
        <f>IF(V148="Adecuado",15,0)</f>
        <v>15</v>
      </c>
      <c r="X148" s="112" t="s">
        <v>288</v>
      </c>
      <c r="Y148" s="113">
        <f>IF(X148="Oportuna",15,0)</f>
        <v>15</v>
      </c>
      <c r="Z148" s="112" t="s">
        <v>291</v>
      </c>
      <c r="AA148" s="113">
        <f>IF(Z148="Prevenir",15,IF(Z148="Detectar",10,0))</f>
        <v>15</v>
      </c>
      <c r="AB148" s="112" t="s">
        <v>290</v>
      </c>
      <c r="AC148" s="113">
        <f>IF(AB148="Confiable",15,0)</f>
        <v>15</v>
      </c>
      <c r="AD148" s="112" t="s">
        <v>292</v>
      </c>
      <c r="AE148" s="113">
        <f>IF(AD148="Se investigan y resuelven oportunamente",15,0)</f>
        <v>15</v>
      </c>
      <c r="AF148" s="112" t="s">
        <v>289</v>
      </c>
      <c r="AG148" s="113">
        <f>IF(AF148="Completa",10,IF(AF148="incompleta",5,0))</f>
        <v>10</v>
      </c>
      <c r="AH148" s="116">
        <f t="shared" si="361"/>
        <v>100</v>
      </c>
      <c r="AI148" s="116" t="str">
        <f t="shared" si="383"/>
        <v>Fuerte</v>
      </c>
      <c r="AJ148" s="117" t="s">
        <v>293</v>
      </c>
      <c r="AK148" s="116" t="str">
        <f>IF(AJ148="Siempre se ejecuta","Fuerte",IF(AJ148="Algunas veces","Moderado",IF(AJ148="no se ejecuta","Débil","")))</f>
        <v>Fuerte</v>
      </c>
      <c r="AL148" s="116" t="str">
        <f>AI148&amp;AK148</f>
        <v>FuerteFuerte</v>
      </c>
      <c r="AM148" s="116" t="str">
        <f>IFERROR(VLOOKUP(AL148,[16]FORMULAS!$B$69:$D$77,3,FALSE),"")</f>
        <v>Fuerte</v>
      </c>
      <c r="AN148" s="116">
        <f>IF(AM148="fuerte",100,IF(AM148="Moderado",50,IF(AM148="débil",0,"")))</f>
        <v>100</v>
      </c>
      <c r="AO148" s="116" t="str">
        <f>IFERROR(VLOOKUP(AL148,[16]FORMULAS!$B$69:$D$77,2,FALSE),"")</f>
        <v>No</v>
      </c>
      <c r="AP148" s="358">
        <f>IFERROR(AVERAGE(AN148:AN149),0)</f>
        <v>75</v>
      </c>
      <c r="AQ148" s="358" t="str">
        <f>IF(AP148&gt;=100,"Fuerte",IF(AP148&gt;=50,"Moderado",IF(AP148&gt;=1,"Débil","")))</f>
        <v>Moderado</v>
      </c>
      <c r="AR148" s="355" t="s">
        <v>160</v>
      </c>
      <c r="AS148" s="355" t="s">
        <v>162</v>
      </c>
      <c r="AT148" s="358" t="str">
        <f>+AQ148&amp;AR148&amp;AS148</f>
        <v>ModeradoDirectamenteIndirectamente</v>
      </c>
      <c r="AU148" s="358">
        <f>IFERROR(VLOOKUP(AT148,[16]FORMULAS!$B$94:$D$101,2,FALSE),0)</f>
        <v>1</v>
      </c>
      <c r="AV148" s="358">
        <f>IFERROR(VLOOKUP(AT148,[16]FORMULAS!$B$94:$D$101,3,FALSE),0)</f>
        <v>0</v>
      </c>
      <c r="AW148" s="361" t="s">
        <v>17</v>
      </c>
      <c r="AX148" s="361" t="s">
        <v>24</v>
      </c>
      <c r="AY148" s="364" t="str">
        <f>AW148&amp;AX148</f>
        <v>ImprobableMayor</v>
      </c>
      <c r="AZ148" s="367" t="str">
        <f>IFERROR(VLOOKUP(AY148,[16]FORMULAS!$B$37:$C$61,2,FALSE),"")</f>
        <v>Riesgo alto</v>
      </c>
      <c r="BA148" s="370" t="s">
        <v>167</v>
      </c>
      <c r="BB148" s="333" t="s">
        <v>968</v>
      </c>
      <c r="BC148" s="333" t="s">
        <v>969</v>
      </c>
      <c r="BD148" s="333" t="s">
        <v>970</v>
      </c>
      <c r="BE148" s="349" t="s">
        <v>971</v>
      </c>
      <c r="BF148" s="327" t="s">
        <v>972</v>
      </c>
      <c r="BG148" s="333" t="s">
        <v>973</v>
      </c>
      <c r="BH148" s="333" t="s">
        <v>974</v>
      </c>
      <c r="BI148" s="333" t="s">
        <v>975</v>
      </c>
      <c r="BJ148" s="393" t="s">
        <v>976</v>
      </c>
    </row>
    <row r="149" spans="2:62" s="86" customFormat="1" ht="48.75" thickBot="1" x14ac:dyDescent="0.3">
      <c r="B149" s="378"/>
      <c r="C149" s="363"/>
      <c r="D149" s="375"/>
      <c r="E149" s="375"/>
      <c r="F149" s="363"/>
      <c r="G149" s="363"/>
      <c r="H149" s="375"/>
      <c r="I149" s="381"/>
      <c r="J149" s="381"/>
      <c r="K149" s="137" t="s">
        <v>959</v>
      </c>
      <c r="L149" s="354"/>
      <c r="M149" s="366"/>
      <c r="N149" s="363"/>
      <c r="O149" s="363"/>
      <c r="P149" s="366"/>
      <c r="Q149" s="372"/>
      <c r="R149" s="375" t="s">
        <v>960</v>
      </c>
      <c r="S149" s="375"/>
      <c r="T149" s="125" t="s">
        <v>286</v>
      </c>
      <c r="U149" s="126">
        <f t="shared" ref="U149" si="384">IF(T149="Asignado",15,0)</f>
        <v>15</v>
      </c>
      <c r="V149" s="125" t="s">
        <v>287</v>
      </c>
      <c r="W149" s="126">
        <f t="shared" ref="W149" si="385">IF(V149="Adecuado",15,0)</f>
        <v>15</v>
      </c>
      <c r="X149" s="125" t="s">
        <v>288</v>
      </c>
      <c r="Y149" s="126">
        <f t="shared" ref="Y149" si="386">IF(X149="Oportuna",15,0)</f>
        <v>15</v>
      </c>
      <c r="Z149" s="125" t="s">
        <v>341</v>
      </c>
      <c r="AA149" s="126">
        <f t="shared" ref="AA149" si="387">IF(Z149="Prevenir",15,IF(Z149="Detectar",10,0))</f>
        <v>10</v>
      </c>
      <c r="AB149" s="125" t="s">
        <v>290</v>
      </c>
      <c r="AC149" s="126">
        <f t="shared" ref="AC149" si="388">IF(AB149="Confiable",15,0)</f>
        <v>15</v>
      </c>
      <c r="AD149" s="125" t="s">
        <v>292</v>
      </c>
      <c r="AE149" s="126">
        <f t="shared" ref="AE149" si="389">IF(AD149="Se investigan y resuelven oportunamente",15,0)</f>
        <v>15</v>
      </c>
      <c r="AF149" s="125" t="s">
        <v>376</v>
      </c>
      <c r="AG149" s="126">
        <f t="shared" ref="AG149" si="390">IF(AF149="Completa",10,IF(AF149="incompleta",5,0))</f>
        <v>5</v>
      </c>
      <c r="AH149" s="129">
        <f t="shared" si="361"/>
        <v>90</v>
      </c>
      <c r="AI149" s="129" t="str">
        <f t="shared" si="383"/>
        <v>Moderado</v>
      </c>
      <c r="AJ149" s="130" t="s">
        <v>342</v>
      </c>
      <c r="AK149" s="129" t="str">
        <f t="shared" ref="AK149" si="391">IF(AJ149="Siempre se ejecuta","Fuerte",IF(AJ149="Algunas veces","Moderado",IF(AJ149="no se ejecuta","Débil","")))</f>
        <v>Moderado</v>
      </c>
      <c r="AL149" s="129" t="str">
        <f t="shared" ref="AL149" si="392">AI149&amp;AK149</f>
        <v>ModeradoModerado</v>
      </c>
      <c r="AM149" s="129" t="str">
        <f>IFERROR(VLOOKUP(AL149,[16]FORMULAS!$B$69:$D$77,3,FALSE),"")</f>
        <v>Moderado</v>
      </c>
      <c r="AN149" s="129">
        <f t="shared" ref="AN149" si="393">IF(AM149="fuerte",100,IF(AM149="Moderado",50,IF(AM149="débil",0,"")))</f>
        <v>50</v>
      </c>
      <c r="AO149" s="129" t="str">
        <f>IFERROR(VLOOKUP(AL149,[16]FORMULAS!$B$69:$C$77,2,FALSE),"")</f>
        <v>Sí</v>
      </c>
      <c r="AP149" s="360"/>
      <c r="AQ149" s="360"/>
      <c r="AR149" s="357"/>
      <c r="AS149" s="357"/>
      <c r="AT149" s="360"/>
      <c r="AU149" s="360"/>
      <c r="AV149" s="360"/>
      <c r="AW149" s="363"/>
      <c r="AX149" s="363"/>
      <c r="AY149" s="366"/>
      <c r="AZ149" s="369"/>
      <c r="BA149" s="372"/>
      <c r="BB149" s="335"/>
      <c r="BC149" s="335"/>
      <c r="BD149" s="335"/>
      <c r="BE149" s="351"/>
      <c r="BF149" s="329"/>
      <c r="BG149" s="335"/>
      <c r="BH149" s="335"/>
      <c r="BI149" s="335"/>
      <c r="BJ149" s="430"/>
    </row>
    <row r="150" spans="2:62" s="86" customFormat="1" ht="48" x14ac:dyDescent="0.25">
      <c r="B150" s="376" t="s">
        <v>83</v>
      </c>
      <c r="C150" s="361">
        <v>39</v>
      </c>
      <c r="D150" s="373" t="s">
        <v>961</v>
      </c>
      <c r="E150" s="373" t="s">
        <v>962</v>
      </c>
      <c r="F150" s="361" t="s">
        <v>89</v>
      </c>
      <c r="G150" s="361" t="s">
        <v>94</v>
      </c>
      <c r="H150" s="373" t="s">
        <v>955</v>
      </c>
      <c r="I150" s="379"/>
      <c r="J150" s="379"/>
      <c r="K150" s="109" t="s">
        <v>963</v>
      </c>
      <c r="L150" s="352" t="s">
        <v>964</v>
      </c>
      <c r="M150" s="364" t="str">
        <f>IF(F150="gestion","impacto",IF(F150="corrupcion","impactocorrupcion",IF(F150="seguridad_de_la_informacion","impacto","")))</f>
        <v>impacto</v>
      </c>
      <c r="N150" s="361" t="s">
        <v>18</v>
      </c>
      <c r="O150" s="361" t="s">
        <v>22</v>
      </c>
      <c r="P150" s="364" t="str">
        <f>N150&amp;O150</f>
        <v>PosibleMenor</v>
      </c>
      <c r="Q150" s="370" t="str">
        <f>IFERROR(VLOOKUP(P150,[16]FORMULAS!$B$37:$C$61,2,FALSE),"")</f>
        <v>Riesgo moderado</v>
      </c>
      <c r="R150" s="373" t="s">
        <v>965</v>
      </c>
      <c r="S150" s="373"/>
      <c r="T150" s="110" t="s">
        <v>286</v>
      </c>
      <c r="U150" s="113">
        <f>IF(T150="Asignado",15,0)</f>
        <v>15</v>
      </c>
      <c r="V150" s="110" t="s">
        <v>287</v>
      </c>
      <c r="W150" s="113">
        <f>IF(V150="Adecuado",15,0)</f>
        <v>15</v>
      </c>
      <c r="X150" s="110" t="s">
        <v>288</v>
      </c>
      <c r="Y150" s="113">
        <f>IF(X150="Oportuna",15,0)</f>
        <v>15</v>
      </c>
      <c r="Z150" s="110" t="s">
        <v>291</v>
      </c>
      <c r="AA150" s="113">
        <f>IF(Z150="Prevenir",15,IF(Z150="Detectar",10,0))</f>
        <v>15</v>
      </c>
      <c r="AB150" s="110" t="s">
        <v>290</v>
      </c>
      <c r="AC150" s="113">
        <f>IF(AB150="Confiable",15,0)</f>
        <v>15</v>
      </c>
      <c r="AD150" s="110" t="s">
        <v>292</v>
      </c>
      <c r="AE150" s="113">
        <f>IF(AD150="Se investigan y resuelven oportunamente",15,0)</f>
        <v>15</v>
      </c>
      <c r="AF150" s="110" t="s">
        <v>376</v>
      </c>
      <c r="AG150" s="113">
        <f>IF(AF150="Completa",10,IF(AF150="incompleta",5,0))</f>
        <v>5</v>
      </c>
      <c r="AH150" s="172">
        <f t="shared" si="361"/>
        <v>95</v>
      </c>
      <c r="AI150" s="172" t="str">
        <f t="shared" si="383"/>
        <v>Moderado</v>
      </c>
      <c r="AJ150" s="171" t="s">
        <v>342</v>
      </c>
      <c r="AK150" s="172" t="str">
        <f>IF(AJ150="Siempre se ejecuta","Fuerte",IF(AJ150="Algunas veces","Moderado",IF(AJ150="no se ejecuta","Débil","")))</f>
        <v>Moderado</v>
      </c>
      <c r="AL150" s="116" t="str">
        <f>AI150&amp;AK150</f>
        <v>ModeradoModerado</v>
      </c>
      <c r="AM150" s="399" t="str">
        <f>IFERROR(VLOOKUP(AL150,[16]FORMULAS!$B$69:$D$77,3,FALSE),"")</f>
        <v>Moderado</v>
      </c>
      <c r="AN150" s="399">
        <f>IF(AM150="fuerte",100,IF(AM150="Moderado",50,IF(AM150="débil",0,"")))</f>
        <v>50</v>
      </c>
      <c r="AO150" s="399" t="str">
        <f>IFERROR(VLOOKUP(AL150,[16]FORMULAS!$B$69:$D$77,2,FALSE),"")</f>
        <v>Sí</v>
      </c>
      <c r="AP150" s="358">
        <f>IFERROR(AVERAGE(AN150:AN151),0)</f>
        <v>50</v>
      </c>
      <c r="AQ150" s="358" t="str">
        <f>IF(AP150&gt;=100,"Fuerte",IF(AP150&gt;=50,"Moderado",IF(AP150&gt;=1,"Débil","")))</f>
        <v>Moderado</v>
      </c>
      <c r="AR150" s="355" t="s">
        <v>160</v>
      </c>
      <c r="AS150" s="355" t="s">
        <v>162</v>
      </c>
      <c r="AT150" s="358" t="str">
        <f>+AQ150&amp;AR150&amp;AS150</f>
        <v>ModeradoDirectamenteIndirectamente</v>
      </c>
      <c r="AU150" s="358">
        <f>IFERROR(VLOOKUP(AT150,[16]FORMULAS!$B$94:$D$101,2,FALSE),0)</f>
        <v>1</v>
      </c>
      <c r="AV150" s="358">
        <f>IFERROR(VLOOKUP(AT150,[16]FORMULAS!$B$94:$D$101,3,FALSE),0)</f>
        <v>0</v>
      </c>
      <c r="AW150" s="361" t="s">
        <v>17</v>
      </c>
      <c r="AX150" s="361" t="s">
        <v>22</v>
      </c>
      <c r="AY150" s="364" t="str">
        <f>AW150&amp;AX150</f>
        <v>ImprobableMenor</v>
      </c>
      <c r="AZ150" s="367" t="str">
        <f>IFERROR(VLOOKUP(AY150,[16]FORMULAS!$B$37:$C$61,2,FALSE),"")</f>
        <v>Riesgo bajo</v>
      </c>
      <c r="BA150" s="370" t="s">
        <v>167</v>
      </c>
      <c r="BB150" s="333" t="s">
        <v>977</v>
      </c>
      <c r="BC150" s="333" t="s">
        <v>978</v>
      </c>
      <c r="BD150" s="333" t="s">
        <v>970</v>
      </c>
      <c r="BE150" s="349" t="s">
        <v>979</v>
      </c>
      <c r="BF150" s="327" t="s">
        <v>980</v>
      </c>
      <c r="BG150" s="333" t="s">
        <v>981</v>
      </c>
      <c r="BH150" s="333" t="s">
        <v>982</v>
      </c>
      <c r="BI150" s="333" t="s">
        <v>983</v>
      </c>
      <c r="BJ150" s="393" t="s">
        <v>976</v>
      </c>
    </row>
    <row r="151" spans="2:62" s="86" customFormat="1" ht="84.75" thickBot="1" x14ac:dyDescent="0.3">
      <c r="B151" s="378"/>
      <c r="C151" s="363"/>
      <c r="D151" s="375"/>
      <c r="E151" s="375"/>
      <c r="F151" s="363"/>
      <c r="G151" s="363"/>
      <c r="H151" s="375"/>
      <c r="I151" s="381"/>
      <c r="J151" s="381"/>
      <c r="K151" s="137" t="s">
        <v>966</v>
      </c>
      <c r="L151" s="354"/>
      <c r="M151" s="366"/>
      <c r="N151" s="363"/>
      <c r="O151" s="363"/>
      <c r="P151" s="366"/>
      <c r="Q151" s="372"/>
      <c r="R151" s="347" t="s">
        <v>967</v>
      </c>
      <c r="S151" s="348"/>
      <c r="T151" s="125" t="s">
        <v>286</v>
      </c>
      <c r="U151" s="126">
        <f>IF(T151="Asignado",15,0)</f>
        <v>15</v>
      </c>
      <c r="V151" s="125" t="s">
        <v>287</v>
      </c>
      <c r="W151" s="126">
        <f>IF(V151="Adecuado",15,0)</f>
        <v>15</v>
      </c>
      <c r="X151" s="125" t="s">
        <v>288</v>
      </c>
      <c r="Y151" s="126">
        <f>IF(X151="Oportuna",15,0)</f>
        <v>15</v>
      </c>
      <c r="Z151" s="125" t="s">
        <v>291</v>
      </c>
      <c r="AA151" s="126">
        <f>IF(Z151="Prevenir",15,IF(Z151="Detectar",10,0))</f>
        <v>15</v>
      </c>
      <c r="AB151" s="125" t="s">
        <v>290</v>
      </c>
      <c r="AC151" s="126">
        <f>IF(AB151="Confiable",15,0)</f>
        <v>15</v>
      </c>
      <c r="AD151" s="125" t="s">
        <v>292</v>
      </c>
      <c r="AE151" s="126">
        <f>IF(AD151="Se investigan y resuelven oportunamente",15,0)</f>
        <v>15</v>
      </c>
      <c r="AF151" s="125" t="s">
        <v>376</v>
      </c>
      <c r="AG151" s="126">
        <f t="shared" ref="AG151" si="394">IF(AF151="Completa",10,IF(AF151="incompleta",5,0))</f>
        <v>5</v>
      </c>
      <c r="AH151" s="129">
        <f t="shared" si="361"/>
        <v>95</v>
      </c>
      <c r="AI151" s="129" t="str">
        <f t="shared" si="383"/>
        <v>Moderado</v>
      </c>
      <c r="AJ151" s="130" t="s">
        <v>342</v>
      </c>
      <c r="AK151" s="129" t="str">
        <f>IF(AJ151="Siempre se ejecuta","Fuerte",IF(AJ151="Algunas veces","Moderado",IF(AJ151="no se ejecuta","Débil","")))</f>
        <v>Moderado</v>
      </c>
      <c r="AL151" s="129" t="str">
        <f t="shared" ref="AL151" si="395">AI151&amp;AK151</f>
        <v>ModeradoModerado</v>
      </c>
      <c r="AM151" s="401"/>
      <c r="AN151" s="401"/>
      <c r="AO151" s="401"/>
      <c r="AP151" s="360"/>
      <c r="AQ151" s="360"/>
      <c r="AR151" s="357"/>
      <c r="AS151" s="357"/>
      <c r="AT151" s="360"/>
      <c r="AU151" s="360"/>
      <c r="AV151" s="360"/>
      <c r="AW151" s="363"/>
      <c r="AX151" s="363"/>
      <c r="AY151" s="366"/>
      <c r="AZ151" s="369"/>
      <c r="BA151" s="372"/>
      <c r="BB151" s="335"/>
      <c r="BC151" s="335"/>
      <c r="BD151" s="335"/>
      <c r="BE151" s="351"/>
      <c r="BF151" s="329"/>
      <c r="BG151" s="335"/>
      <c r="BH151" s="335"/>
      <c r="BI151" s="335"/>
      <c r="BJ151" s="430"/>
    </row>
    <row r="152" spans="2:62" s="86" customFormat="1" ht="20.100000000000001" customHeight="1" x14ac:dyDescent="0.25">
      <c r="B152" s="456" t="s">
        <v>83</v>
      </c>
      <c r="C152" s="438">
        <v>40</v>
      </c>
      <c r="D152" s="459" t="s">
        <v>618</v>
      </c>
      <c r="E152" s="459" t="s">
        <v>984</v>
      </c>
      <c r="F152" s="438" t="s">
        <v>91</v>
      </c>
      <c r="G152" s="438" t="s">
        <v>100</v>
      </c>
      <c r="H152" s="422" t="s">
        <v>985</v>
      </c>
      <c r="I152" s="462" t="s">
        <v>130</v>
      </c>
      <c r="J152" s="462" t="s">
        <v>120</v>
      </c>
      <c r="K152" s="306" t="s">
        <v>621</v>
      </c>
      <c r="L152" s="422" t="s">
        <v>986</v>
      </c>
      <c r="M152" s="441" t="str">
        <f>IF(F152="gestion","impacto",IF(F152="corrupcion","impactocorrupcion",IF(F152="seguridad_de_la_informacion","impacto","")))</f>
        <v>impacto</v>
      </c>
      <c r="N152" s="438" t="s">
        <v>18</v>
      </c>
      <c r="O152" s="438" t="s">
        <v>22</v>
      </c>
      <c r="P152" s="441" t="str">
        <f>N152&amp;O152</f>
        <v>PosibleMenor</v>
      </c>
      <c r="Q152" s="447" t="str">
        <f>IFERROR(VLOOKUP(P152,[16]FORMULAS!$B$37:$C$61,2,FALSE),"")</f>
        <v>Riesgo moderado</v>
      </c>
      <c r="R152" s="424" t="s">
        <v>987</v>
      </c>
      <c r="S152" s="425"/>
      <c r="T152" s="428" t="s">
        <v>286</v>
      </c>
      <c r="U152" s="215">
        <f>IF(T152="Asignado",15,0)</f>
        <v>15</v>
      </c>
      <c r="V152" s="428" t="s">
        <v>287</v>
      </c>
      <c r="W152" s="215">
        <f>IF(V152="Adecuado",15,0)</f>
        <v>15</v>
      </c>
      <c r="X152" s="428" t="s">
        <v>288</v>
      </c>
      <c r="Y152" s="215">
        <f>IF(X152="Oportuna",15,0)</f>
        <v>15</v>
      </c>
      <c r="Z152" s="428" t="s">
        <v>291</v>
      </c>
      <c r="AA152" s="215">
        <f>IF(Z152="Prevenir",15,IF(Z152="Detectar",10,0))</f>
        <v>15</v>
      </c>
      <c r="AB152" s="428" t="s">
        <v>290</v>
      </c>
      <c r="AC152" s="215">
        <f>IF(AB152="Confiable",15,0)</f>
        <v>15</v>
      </c>
      <c r="AD152" s="428" t="s">
        <v>292</v>
      </c>
      <c r="AE152" s="215">
        <f>IF(AD152="Se investigan y resuelven oportunamente",15,0)</f>
        <v>15</v>
      </c>
      <c r="AF152" s="428" t="s">
        <v>376</v>
      </c>
      <c r="AG152" s="215">
        <f>IF(AF152="Completa",10,IF(AF152="incompleta",5,0))</f>
        <v>5</v>
      </c>
      <c r="AH152" s="452">
        <f t="shared" si="361"/>
        <v>95</v>
      </c>
      <c r="AI152" s="452" t="str">
        <f>IF(AH152&gt;=96,"Fuerte",IF(AH152&gt;=86,"Moderado",IF(AH152&gt;=1,"Débil","")))</f>
        <v>Moderado</v>
      </c>
      <c r="AJ152" s="454" t="s">
        <v>342</v>
      </c>
      <c r="AK152" s="452" t="str">
        <f>IF(AJ152="Siempre se ejecuta","Fuerte",IF(AJ152="Algunas veces","Moderado",IF(AJ152="no se ejecuta","Débil","")))</f>
        <v>Moderado</v>
      </c>
      <c r="AL152" s="218" t="str">
        <f>AI152&amp;AK152</f>
        <v>ModeradoModerado</v>
      </c>
      <c r="AM152" s="452" t="str">
        <f>IFERROR(VLOOKUP(AL152,[16]FORMULAS!$B$69:$D$77,3,FALSE),"")</f>
        <v>Moderado</v>
      </c>
      <c r="AN152" s="452">
        <f>IF(AM152="fuerte",100,IF(AM152="Moderado",50,IF(AM152="débil",0,"")))</f>
        <v>50</v>
      </c>
      <c r="AO152" s="452" t="str">
        <f>IFERROR(VLOOKUP(AL152,[16]FORMULAS!$B$69:$D$77,2,FALSE),"")</f>
        <v>Sí</v>
      </c>
      <c r="AP152" s="435">
        <f>IFERROR(AVERAGE(AN152:AN155),0)</f>
        <v>50</v>
      </c>
      <c r="AQ152" s="435" t="str">
        <f>IF(AP152&gt;=100,"Fuerte",IF(AP152&gt;=50,"Moderado",IF(AP152&gt;=1,"Débil","")))</f>
        <v>Moderado</v>
      </c>
      <c r="AR152" s="432" t="s">
        <v>160</v>
      </c>
      <c r="AS152" s="432" t="s">
        <v>162</v>
      </c>
      <c r="AT152" s="435" t="str">
        <f>+AQ152&amp;AR152&amp;AS152</f>
        <v>ModeradoDirectamenteIndirectamente</v>
      </c>
      <c r="AU152" s="435">
        <f>IFERROR(VLOOKUP(AT152,[16]FORMULAS!$B$94:$D$101,2,FALSE),0)</f>
        <v>1</v>
      </c>
      <c r="AV152" s="435">
        <f>IFERROR(VLOOKUP(AT152,[16]FORMULAS!$B$94:$D$101,3,FALSE),0)</f>
        <v>0</v>
      </c>
      <c r="AW152" s="438" t="s">
        <v>17</v>
      </c>
      <c r="AX152" s="438" t="s">
        <v>22</v>
      </c>
      <c r="AY152" s="441" t="str">
        <f>AW152&amp;AX152</f>
        <v>ImprobableMenor</v>
      </c>
      <c r="AZ152" s="444" t="str">
        <f>IFERROR(VLOOKUP(AY152,[16]FORMULAS!$B$37:$C$61,2,FALSE),"")</f>
        <v>Riesgo bajo</v>
      </c>
      <c r="BA152" s="447" t="s">
        <v>167</v>
      </c>
      <c r="BB152" s="410" t="s">
        <v>988</v>
      </c>
      <c r="BC152" s="413" t="s">
        <v>989</v>
      </c>
      <c r="BD152" s="413" t="s">
        <v>970</v>
      </c>
      <c r="BE152" s="416" t="s">
        <v>990</v>
      </c>
      <c r="BF152" s="416" t="s">
        <v>991</v>
      </c>
      <c r="BG152" s="410" t="s">
        <v>992</v>
      </c>
      <c r="BH152" s="410" t="s">
        <v>993</v>
      </c>
      <c r="BI152" s="410" t="s">
        <v>994</v>
      </c>
      <c r="BJ152" s="419" t="s">
        <v>976</v>
      </c>
    </row>
    <row r="153" spans="2:62" s="86" customFormat="1" ht="20.100000000000001" customHeight="1" x14ac:dyDescent="0.25">
      <c r="B153" s="457"/>
      <c r="C153" s="439"/>
      <c r="D153" s="450"/>
      <c r="E153" s="450"/>
      <c r="F153" s="439"/>
      <c r="G153" s="439"/>
      <c r="H153" s="460"/>
      <c r="I153" s="463"/>
      <c r="J153" s="463"/>
      <c r="K153" s="257" t="s">
        <v>623</v>
      </c>
      <c r="L153" s="423"/>
      <c r="M153" s="442"/>
      <c r="N153" s="439"/>
      <c r="O153" s="439"/>
      <c r="P153" s="442"/>
      <c r="Q153" s="448"/>
      <c r="R153" s="426"/>
      <c r="S153" s="427"/>
      <c r="T153" s="429"/>
      <c r="U153" s="205">
        <f t="shared" ref="U153:U155" si="396">IF(T153="Asignado",15,0)</f>
        <v>0</v>
      </c>
      <c r="V153" s="429"/>
      <c r="W153" s="205">
        <f t="shared" ref="W153:W155" si="397">IF(V153="Adecuado",15,0)</f>
        <v>0</v>
      </c>
      <c r="X153" s="429"/>
      <c r="Y153" s="205" t="e">
        <f>IF(#REF!="Oportuna",15,0)</f>
        <v>#REF!</v>
      </c>
      <c r="Z153" s="429"/>
      <c r="AA153" s="205">
        <f t="shared" ref="AA153:AA155" si="398">IF(Z153="Prevenir",15,IF(Z153="Detectar",10,0))</f>
        <v>0</v>
      </c>
      <c r="AB153" s="429"/>
      <c r="AC153" s="205">
        <f t="shared" ref="AC153:AC155" si="399">IF(AB153="Confiable",15,0)</f>
        <v>0</v>
      </c>
      <c r="AD153" s="429"/>
      <c r="AE153" s="205">
        <f t="shared" ref="AE153:AE155" si="400">IF(AD153="Se investigan y resuelven oportunamente",15,0)</f>
        <v>0</v>
      </c>
      <c r="AF153" s="429"/>
      <c r="AG153" s="205">
        <f t="shared" ref="AG153:AG155" si="401">IF(AF153="Completa",10,IF(AF153="incompleta",5,0))</f>
        <v>0</v>
      </c>
      <c r="AH153" s="453"/>
      <c r="AI153" s="453"/>
      <c r="AJ153" s="455"/>
      <c r="AK153" s="453"/>
      <c r="AL153" s="208" t="str">
        <f t="shared" ref="AL153:AL155" si="402">AI153&amp;AK153</f>
        <v/>
      </c>
      <c r="AM153" s="453"/>
      <c r="AN153" s="453"/>
      <c r="AO153" s="453"/>
      <c r="AP153" s="436"/>
      <c r="AQ153" s="436"/>
      <c r="AR153" s="433"/>
      <c r="AS153" s="433"/>
      <c r="AT153" s="436"/>
      <c r="AU153" s="436"/>
      <c r="AV153" s="436"/>
      <c r="AW153" s="439"/>
      <c r="AX153" s="439"/>
      <c r="AY153" s="442"/>
      <c r="AZ153" s="445"/>
      <c r="BA153" s="448"/>
      <c r="BB153" s="411"/>
      <c r="BC153" s="414"/>
      <c r="BD153" s="414"/>
      <c r="BE153" s="417"/>
      <c r="BF153" s="417"/>
      <c r="BG153" s="411"/>
      <c r="BH153" s="411"/>
      <c r="BI153" s="411"/>
      <c r="BJ153" s="420"/>
    </row>
    <row r="154" spans="2:62" s="86" customFormat="1" ht="20.100000000000001" customHeight="1" x14ac:dyDescent="0.25">
      <c r="B154" s="457"/>
      <c r="C154" s="439"/>
      <c r="D154" s="450"/>
      <c r="E154" s="450"/>
      <c r="F154" s="439"/>
      <c r="G154" s="439"/>
      <c r="H154" s="460"/>
      <c r="I154" s="463"/>
      <c r="J154" s="463"/>
      <c r="K154" s="257"/>
      <c r="L154" s="257"/>
      <c r="M154" s="442"/>
      <c r="N154" s="439"/>
      <c r="O154" s="439"/>
      <c r="P154" s="442"/>
      <c r="Q154" s="448"/>
      <c r="R154" s="450"/>
      <c r="S154" s="450"/>
      <c r="T154" s="204"/>
      <c r="U154" s="205">
        <f t="shared" si="396"/>
        <v>0</v>
      </c>
      <c r="V154" s="204"/>
      <c r="W154" s="205">
        <f t="shared" si="397"/>
        <v>0</v>
      </c>
      <c r="X154" s="204"/>
      <c r="Y154" s="205">
        <f t="shared" ref="Y154:Y155" si="403">IF(X154="Oportuna",15,0)</f>
        <v>0</v>
      </c>
      <c r="Z154" s="204"/>
      <c r="AA154" s="205">
        <f t="shared" si="398"/>
        <v>0</v>
      </c>
      <c r="AB154" s="204"/>
      <c r="AC154" s="205">
        <f t="shared" si="399"/>
        <v>0</v>
      </c>
      <c r="AD154" s="204"/>
      <c r="AE154" s="205">
        <f t="shared" si="400"/>
        <v>0</v>
      </c>
      <c r="AF154" s="204"/>
      <c r="AG154" s="205">
        <f t="shared" si="401"/>
        <v>0</v>
      </c>
      <c r="AH154" s="208">
        <f t="shared" si="361"/>
        <v>0</v>
      </c>
      <c r="AI154" s="208" t="str">
        <f t="shared" ref="AI154:AI155" si="404">IF(AH154&gt;=96,"Fuerte",IF(AH154&gt;=86,"Moderado",IF(AH154&gt;=1,"Débil","")))</f>
        <v/>
      </c>
      <c r="AJ154" s="209"/>
      <c r="AK154" s="208" t="str">
        <f t="shared" ref="AK154:AK155" si="405">IF(AJ154="Siempre se ejecuta","Fuerte",IF(AJ154="Algunas veces","Moderado",IF(AJ154="no se ejecuta","Débil","")))</f>
        <v/>
      </c>
      <c r="AL154" s="208" t="str">
        <f t="shared" si="402"/>
        <v/>
      </c>
      <c r="AM154" s="208" t="str">
        <f>IFERROR(VLOOKUP(AL154,[16]FORMULAS!$B$69:$D$77,3,FALSE),"")</f>
        <v/>
      </c>
      <c r="AN154" s="208" t="str">
        <f t="shared" ref="AN154:AN155" si="406">IF(AM154="fuerte",100,IF(AM154="Moderado",50,IF(AM154="débil",0,"")))</f>
        <v/>
      </c>
      <c r="AO154" s="208" t="str">
        <f>IFERROR(VLOOKUP(AL154,[16]FORMULAS!$B$69:$C$77,2,FALSE),"")</f>
        <v/>
      </c>
      <c r="AP154" s="436"/>
      <c r="AQ154" s="436"/>
      <c r="AR154" s="433"/>
      <c r="AS154" s="433"/>
      <c r="AT154" s="436"/>
      <c r="AU154" s="436"/>
      <c r="AV154" s="436"/>
      <c r="AW154" s="439"/>
      <c r="AX154" s="439"/>
      <c r="AY154" s="442"/>
      <c r="AZ154" s="445"/>
      <c r="BA154" s="448"/>
      <c r="BB154" s="411"/>
      <c r="BC154" s="414"/>
      <c r="BD154" s="414"/>
      <c r="BE154" s="417"/>
      <c r="BF154" s="417"/>
      <c r="BG154" s="411"/>
      <c r="BH154" s="411"/>
      <c r="BI154" s="411"/>
      <c r="BJ154" s="420"/>
    </row>
    <row r="155" spans="2:62" s="86" customFormat="1" ht="20.100000000000001" customHeight="1" thickBot="1" x14ac:dyDescent="0.3">
      <c r="B155" s="458"/>
      <c r="C155" s="440"/>
      <c r="D155" s="451"/>
      <c r="E155" s="451"/>
      <c r="F155" s="440"/>
      <c r="G155" s="440"/>
      <c r="H155" s="461"/>
      <c r="I155" s="464"/>
      <c r="J155" s="464"/>
      <c r="K155" s="307"/>
      <c r="L155" s="307"/>
      <c r="M155" s="443"/>
      <c r="N155" s="440"/>
      <c r="O155" s="440"/>
      <c r="P155" s="443"/>
      <c r="Q155" s="449"/>
      <c r="R155" s="451"/>
      <c r="S155" s="451"/>
      <c r="T155" s="221"/>
      <c r="U155" s="222">
        <f t="shared" si="396"/>
        <v>0</v>
      </c>
      <c r="V155" s="221"/>
      <c r="W155" s="222">
        <f t="shared" si="397"/>
        <v>0</v>
      </c>
      <c r="X155" s="221"/>
      <c r="Y155" s="222">
        <f t="shared" si="403"/>
        <v>0</v>
      </c>
      <c r="Z155" s="221"/>
      <c r="AA155" s="222">
        <f t="shared" si="398"/>
        <v>0</v>
      </c>
      <c r="AB155" s="221"/>
      <c r="AC155" s="222">
        <f t="shared" si="399"/>
        <v>0</v>
      </c>
      <c r="AD155" s="221"/>
      <c r="AE155" s="222">
        <f t="shared" si="400"/>
        <v>0</v>
      </c>
      <c r="AF155" s="221"/>
      <c r="AG155" s="222">
        <f t="shared" si="401"/>
        <v>0</v>
      </c>
      <c r="AH155" s="225">
        <f t="shared" si="361"/>
        <v>0</v>
      </c>
      <c r="AI155" s="225" t="str">
        <f t="shared" si="404"/>
        <v/>
      </c>
      <c r="AJ155" s="226"/>
      <c r="AK155" s="225" t="str">
        <f t="shared" si="405"/>
        <v/>
      </c>
      <c r="AL155" s="225" t="str">
        <f t="shared" si="402"/>
        <v/>
      </c>
      <c r="AM155" s="225" t="str">
        <f>IFERROR(VLOOKUP(AL155,[16]FORMULAS!$B$69:$D$77,3,FALSE),"")</f>
        <v/>
      </c>
      <c r="AN155" s="225" t="str">
        <f t="shared" si="406"/>
        <v/>
      </c>
      <c r="AO155" s="225" t="str">
        <f>IFERROR(VLOOKUP(AL155,[16]FORMULAS!$B$69:$C$77,2,FALSE),"")</f>
        <v/>
      </c>
      <c r="AP155" s="437"/>
      <c r="AQ155" s="437"/>
      <c r="AR155" s="434"/>
      <c r="AS155" s="434"/>
      <c r="AT155" s="437"/>
      <c r="AU155" s="437"/>
      <c r="AV155" s="437"/>
      <c r="AW155" s="440"/>
      <c r="AX155" s="440"/>
      <c r="AY155" s="443"/>
      <c r="AZ155" s="446"/>
      <c r="BA155" s="449"/>
      <c r="BB155" s="412"/>
      <c r="BC155" s="415"/>
      <c r="BD155" s="415"/>
      <c r="BE155" s="418"/>
      <c r="BF155" s="418"/>
      <c r="BG155" s="412"/>
      <c r="BH155" s="412"/>
      <c r="BI155" s="412"/>
      <c r="BJ155" s="421"/>
    </row>
    <row r="156" spans="2:62" s="86" customFormat="1" ht="120" x14ac:dyDescent="0.25">
      <c r="B156" s="376" t="s">
        <v>85</v>
      </c>
      <c r="C156" s="361">
        <v>41</v>
      </c>
      <c r="D156" s="373" t="s">
        <v>995</v>
      </c>
      <c r="E156" s="373"/>
      <c r="F156" s="361" t="s">
        <v>89</v>
      </c>
      <c r="G156" s="361"/>
      <c r="H156" s="373" t="s">
        <v>996</v>
      </c>
      <c r="I156" s="379"/>
      <c r="J156" s="379"/>
      <c r="K156" s="109" t="s">
        <v>997</v>
      </c>
      <c r="L156" s="199"/>
      <c r="M156" s="364" t="str">
        <f>IF(F156="gestion","impacto",IF(F156="corrupcion","impactocorrupcion",IF(F156="seguridad_de_la_informacion","impacto","")))</f>
        <v>impacto</v>
      </c>
      <c r="N156" s="361"/>
      <c r="O156" s="361"/>
      <c r="P156" s="364" t="str">
        <f>N156&amp;O156</f>
        <v/>
      </c>
      <c r="Q156" s="370" t="str">
        <f>IFERROR(VLOOKUP(P156,FORMULAS!$B$37:$C$61,2,FALSE),"")</f>
        <v/>
      </c>
      <c r="R156" s="373"/>
      <c r="S156" s="373"/>
      <c r="T156" s="112"/>
      <c r="U156" s="113">
        <f>IF(T156="Asignado",15,0)</f>
        <v>0</v>
      </c>
      <c r="V156" s="112"/>
      <c r="W156" s="113">
        <f>IF(V156="Adecuado",15,0)</f>
        <v>0</v>
      </c>
      <c r="X156" s="112"/>
      <c r="Y156" s="113">
        <f>IF(X156="Oportuna",15,0)</f>
        <v>0</v>
      </c>
      <c r="Z156" s="112"/>
      <c r="AA156" s="113">
        <f>IF(Z156="Prevenir",15,IF(Z156="Detectar",10,0))</f>
        <v>0</v>
      </c>
      <c r="AB156" s="112"/>
      <c r="AC156" s="113">
        <f>IF(AB156="Confiable",15,0)</f>
        <v>0</v>
      </c>
      <c r="AD156" s="112"/>
      <c r="AE156" s="113">
        <f>IF(AD156="Se investigan y resuelven oportunamente",15,0)</f>
        <v>0</v>
      </c>
      <c r="AF156" s="112"/>
      <c r="AG156" s="113">
        <f>IF(AF156="Completa",10,IF(AF156="incompleta",5,0))</f>
        <v>0</v>
      </c>
      <c r="AH156" s="116">
        <f t="shared" ref="AH156:AH160" si="407">U156+W156+Y156+AA156+AC156+AE156+AG156</f>
        <v>0</v>
      </c>
      <c r="AI156" s="116" t="str">
        <f>IF(AH156&gt;=96,"Fuerte",IF(AH156&gt;=86,"Moderado",IF(AH156&gt;=1,"Débil","")))</f>
        <v/>
      </c>
      <c r="AJ156" s="117"/>
      <c r="AK156" s="116" t="str">
        <f>IF(AJ156="Siempre se ejecuta","Fuerte",IF(AJ156="Algunas veces","Moderado",IF(AJ156="no se ejecuta","Débil","")))</f>
        <v/>
      </c>
      <c r="AL156" s="116" t="str">
        <f>AI156&amp;AK156</f>
        <v/>
      </c>
      <c r="AM156" s="116" t="str">
        <f>IFERROR(VLOOKUP(AL156,FORMULAS!$B$69:$D$77,3,FALSE),"")</f>
        <v/>
      </c>
      <c r="AN156" s="116" t="str">
        <f>IF(AM156="fuerte",100,IF(AM156="Moderado",50,IF(AM156="débil",0,"")))</f>
        <v/>
      </c>
      <c r="AO156" s="116" t="str">
        <f>IFERROR(VLOOKUP(AL156,FORMULAS!$B$69:$D$77,2,FALSE),"")</f>
        <v/>
      </c>
      <c r="AP156" s="358">
        <f>IFERROR(AVERAGE(AN156:AN159),0)</f>
        <v>0</v>
      </c>
      <c r="AQ156" s="358" t="str">
        <f>IF(AP156&gt;=100,"Fuerte",IF(AP156&gt;=50,"Moderado",IF(AP156&gt;=1,"Débil","")))</f>
        <v/>
      </c>
      <c r="AR156" s="355"/>
      <c r="AS156" s="355"/>
      <c r="AT156" s="358" t="str">
        <f>+AQ156&amp;AR156&amp;AS156</f>
        <v/>
      </c>
      <c r="AU156" s="358">
        <f>IFERROR(VLOOKUP(AT156,FORMULAS!$B$94:$D$101,2,FALSE),0)</f>
        <v>0</v>
      </c>
      <c r="AV156" s="358">
        <f>IFERROR(VLOOKUP(AT156,FORMULAS!$B$94:$D$101,3,FALSE),0)</f>
        <v>0</v>
      </c>
      <c r="AW156" s="361" t="s">
        <v>134</v>
      </c>
      <c r="AX156" s="361" t="s">
        <v>23</v>
      </c>
      <c r="AY156" s="364" t="str">
        <f>AW156&amp;AX156</f>
        <v>Rara vezModerado</v>
      </c>
      <c r="AZ156" s="367" t="str">
        <f>IFERROR(VLOOKUP(AY156,FORMULAS!$B$37:$C$61,2,FALSE),"")</f>
        <v>Riesgo moderado</v>
      </c>
      <c r="BA156" s="370" t="s">
        <v>167</v>
      </c>
      <c r="BB156" s="153" t="s">
        <v>1000</v>
      </c>
      <c r="BC156" s="119" t="s">
        <v>1001</v>
      </c>
      <c r="BD156" s="119" t="s">
        <v>1002</v>
      </c>
      <c r="BE156" s="160" t="s">
        <v>1003</v>
      </c>
      <c r="BF156" s="160" t="s">
        <v>1004</v>
      </c>
      <c r="BG156" s="119" t="s">
        <v>1005</v>
      </c>
      <c r="BH156" s="119" t="s">
        <v>1006</v>
      </c>
      <c r="BI156" s="119" t="s">
        <v>1007</v>
      </c>
      <c r="BJ156" s="154" t="s">
        <v>1008</v>
      </c>
    </row>
    <row r="157" spans="2:62" s="86" customFormat="1" ht="120" x14ac:dyDescent="0.25">
      <c r="B157" s="377"/>
      <c r="C157" s="362"/>
      <c r="D157" s="374"/>
      <c r="E157" s="374"/>
      <c r="F157" s="362"/>
      <c r="G157" s="362"/>
      <c r="H157" s="374"/>
      <c r="I157" s="380"/>
      <c r="J157" s="380"/>
      <c r="K157" s="121" t="s">
        <v>998</v>
      </c>
      <c r="L157" s="80"/>
      <c r="M157" s="365"/>
      <c r="N157" s="362"/>
      <c r="O157" s="362"/>
      <c r="P157" s="365"/>
      <c r="Q157" s="371"/>
      <c r="R157" s="374"/>
      <c r="S157" s="374"/>
      <c r="T157" s="102"/>
      <c r="U157" s="106">
        <f t="shared" ref="U157:U159" si="408">IF(T157="Asignado",15,0)</f>
        <v>0</v>
      </c>
      <c r="V157" s="102"/>
      <c r="W157" s="106">
        <f t="shared" ref="W157:W159" si="409">IF(V157="Adecuado",15,0)</f>
        <v>0</v>
      </c>
      <c r="X157" s="102"/>
      <c r="Y157" s="106">
        <f t="shared" ref="Y157:Y159" si="410">IF(X157="Oportuna",15,0)</f>
        <v>0</v>
      </c>
      <c r="Z157" s="102"/>
      <c r="AA157" s="106">
        <f t="shared" ref="AA157:AA159" si="411">IF(Z157="Prevenir",15,IF(Z157="Detectar",10,0))</f>
        <v>0</v>
      </c>
      <c r="AB157" s="102"/>
      <c r="AC157" s="106">
        <f t="shared" ref="AC157:AC159" si="412">IF(AB157="Confiable",15,0)</f>
        <v>0</v>
      </c>
      <c r="AD157" s="102"/>
      <c r="AE157" s="106">
        <f t="shared" ref="AE157:AE159" si="413">IF(AD157="Se investigan y resuelven oportunamente",15,0)</f>
        <v>0</v>
      </c>
      <c r="AF157" s="102"/>
      <c r="AG157" s="106">
        <f t="shared" ref="AG157:AG159" si="414">IF(AF157="Completa",10,IF(AF157="incompleta",5,0))</f>
        <v>0</v>
      </c>
      <c r="AH157" s="105">
        <f t="shared" si="407"/>
        <v>0</v>
      </c>
      <c r="AI157" s="105" t="str">
        <f>IF(AH157&gt;=96,"Fuerte",IF(AH157&gt;=86,"Moderado",IF(AH157&gt;=1,"Débil","")))</f>
        <v/>
      </c>
      <c r="AJ157" s="107"/>
      <c r="AK157" s="105" t="str">
        <f t="shared" ref="AK157:AK159" si="415">IF(AJ157="Siempre se ejecuta","Fuerte",IF(AJ157="Algunas veces","Moderado",IF(AJ157="no se ejecuta","Débil","")))</f>
        <v/>
      </c>
      <c r="AL157" s="105" t="str">
        <f t="shared" ref="AL157:AL159" si="416">AI157&amp;AK157</f>
        <v/>
      </c>
      <c r="AM157" s="105" t="str">
        <f>IFERROR(VLOOKUP(AL157,FORMULAS!$B$69:$D$77,3,FALSE),"")</f>
        <v/>
      </c>
      <c r="AN157" s="105" t="str">
        <f t="shared" ref="AN157:AN159" si="417">IF(AM157="fuerte",100,IF(AM157="Moderado",50,IF(AM157="débil",0,"")))</f>
        <v/>
      </c>
      <c r="AO157" s="105" t="str">
        <f>IFERROR(VLOOKUP(AL157,FORMULAS!$B$69:$C$77,2,FALSE),"")</f>
        <v/>
      </c>
      <c r="AP157" s="359"/>
      <c r="AQ157" s="359"/>
      <c r="AR157" s="356"/>
      <c r="AS157" s="356"/>
      <c r="AT157" s="359"/>
      <c r="AU157" s="359"/>
      <c r="AV157" s="359"/>
      <c r="AW157" s="362"/>
      <c r="AX157" s="362"/>
      <c r="AY157" s="365"/>
      <c r="AZ157" s="368"/>
      <c r="BA157" s="371"/>
      <c r="BB157" s="152" t="s">
        <v>1000</v>
      </c>
      <c r="BC157" s="84" t="s">
        <v>1001</v>
      </c>
      <c r="BD157" s="84" t="s">
        <v>1002</v>
      </c>
      <c r="BE157" s="83" t="s">
        <v>1003</v>
      </c>
      <c r="BF157" s="83" t="s">
        <v>1004</v>
      </c>
      <c r="BG157" s="84" t="s">
        <v>1005</v>
      </c>
      <c r="BH157" s="84" t="s">
        <v>1006</v>
      </c>
      <c r="BI157" s="84" t="s">
        <v>1007</v>
      </c>
      <c r="BJ157" s="155" t="s">
        <v>1008</v>
      </c>
    </row>
    <row r="158" spans="2:62" s="86" customFormat="1" ht="120" x14ac:dyDescent="0.25">
      <c r="B158" s="377"/>
      <c r="C158" s="362"/>
      <c r="D158" s="374"/>
      <c r="E158" s="374"/>
      <c r="F158" s="362"/>
      <c r="G158" s="362"/>
      <c r="H158" s="374"/>
      <c r="I158" s="380"/>
      <c r="J158" s="380"/>
      <c r="K158" s="121" t="s">
        <v>999</v>
      </c>
      <c r="L158" s="80"/>
      <c r="M158" s="365"/>
      <c r="N158" s="362"/>
      <c r="O158" s="362"/>
      <c r="P158" s="365"/>
      <c r="Q158" s="371"/>
      <c r="R158" s="374"/>
      <c r="S158" s="374"/>
      <c r="T158" s="102"/>
      <c r="U158" s="106">
        <f t="shared" si="408"/>
        <v>0</v>
      </c>
      <c r="V158" s="102"/>
      <c r="W158" s="106">
        <f t="shared" si="409"/>
        <v>0</v>
      </c>
      <c r="X158" s="102"/>
      <c r="Y158" s="106">
        <f t="shared" si="410"/>
        <v>0</v>
      </c>
      <c r="Z158" s="102"/>
      <c r="AA158" s="106">
        <f t="shared" si="411"/>
        <v>0</v>
      </c>
      <c r="AB158" s="102"/>
      <c r="AC158" s="106">
        <f t="shared" si="412"/>
        <v>0</v>
      </c>
      <c r="AD158" s="102"/>
      <c r="AE158" s="106">
        <f t="shared" si="413"/>
        <v>0</v>
      </c>
      <c r="AF158" s="102"/>
      <c r="AG158" s="106">
        <f t="shared" si="414"/>
        <v>0</v>
      </c>
      <c r="AH158" s="105">
        <f t="shared" si="407"/>
        <v>0</v>
      </c>
      <c r="AI158" s="105" t="str">
        <f t="shared" ref="AI158:AI159" si="418">IF(AH158&gt;=96,"Fuerte",IF(AH158&gt;=86,"Moderado",IF(AH158&gt;=1,"Débil","")))</f>
        <v/>
      </c>
      <c r="AJ158" s="107"/>
      <c r="AK158" s="105" t="str">
        <f t="shared" si="415"/>
        <v/>
      </c>
      <c r="AL158" s="105" t="str">
        <f t="shared" si="416"/>
        <v/>
      </c>
      <c r="AM158" s="105" t="str">
        <f>IFERROR(VLOOKUP(AL158,FORMULAS!$B$69:$D$77,3,FALSE),"")</f>
        <v/>
      </c>
      <c r="AN158" s="105" t="str">
        <f t="shared" si="417"/>
        <v/>
      </c>
      <c r="AO158" s="105" t="str">
        <f>IFERROR(VLOOKUP(AL158,FORMULAS!$B$69:$C$77,2,FALSE),"")</f>
        <v/>
      </c>
      <c r="AP158" s="359"/>
      <c r="AQ158" s="359"/>
      <c r="AR158" s="356"/>
      <c r="AS158" s="356"/>
      <c r="AT158" s="359"/>
      <c r="AU158" s="359"/>
      <c r="AV158" s="359"/>
      <c r="AW158" s="362"/>
      <c r="AX158" s="362"/>
      <c r="AY158" s="365"/>
      <c r="AZ158" s="368"/>
      <c r="BA158" s="371"/>
      <c r="BB158" s="152" t="s">
        <v>1000</v>
      </c>
      <c r="BC158" s="84" t="s">
        <v>1001</v>
      </c>
      <c r="BD158" s="84" t="s">
        <v>1002</v>
      </c>
      <c r="BE158" s="83" t="s">
        <v>1003</v>
      </c>
      <c r="BF158" s="83" t="s">
        <v>1004</v>
      </c>
      <c r="BG158" s="84" t="s">
        <v>1005</v>
      </c>
      <c r="BH158" s="84" t="s">
        <v>1006</v>
      </c>
      <c r="BI158" s="84" t="s">
        <v>1007</v>
      </c>
      <c r="BJ158" s="155" t="s">
        <v>1008</v>
      </c>
    </row>
    <row r="159" spans="2:62" s="86" customFormat="1" ht="20.100000000000001" customHeight="1" thickBot="1" x14ac:dyDescent="0.3">
      <c r="B159" s="378"/>
      <c r="C159" s="363"/>
      <c r="D159" s="375"/>
      <c r="E159" s="375"/>
      <c r="F159" s="363"/>
      <c r="G159" s="363"/>
      <c r="H159" s="375"/>
      <c r="I159" s="381"/>
      <c r="J159" s="381"/>
      <c r="K159" s="124"/>
      <c r="L159" s="124"/>
      <c r="M159" s="366"/>
      <c r="N159" s="363"/>
      <c r="O159" s="363"/>
      <c r="P159" s="366"/>
      <c r="Q159" s="372"/>
      <c r="R159" s="375"/>
      <c r="S159" s="375"/>
      <c r="T159" s="125"/>
      <c r="U159" s="126">
        <f t="shared" si="408"/>
        <v>0</v>
      </c>
      <c r="V159" s="125"/>
      <c r="W159" s="126">
        <f t="shared" si="409"/>
        <v>0</v>
      </c>
      <c r="X159" s="125"/>
      <c r="Y159" s="126">
        <f t="shared" si="410"/>
        <v>0</v>
      </c>
      <c r="Z159" s="125"/>
      <c r="AA159" s="126">
        <f t="shared" si="411"/>
        <v>0</v>
      </c>
      <c r="AB159" s="125"/>
      <c r="AC159" s="126">
        <f t="shared" si="412"/>
        <v>0</v>
      </c>
      <c r="AD159" s="125"/>
      <c r="AE159" s="126">
        <f t="shared" si="413"/>
        <v>0</v>
      </c>
      <c r="AF159" s="125"/>
      <c r="AG159" s="126">
        <f t="shared" si="414"/>
        <v>0</v>
      </c>
      <c r="AH159" s="129">
        <f t="shared" si="407"/>
        <v>0</v>
      </c>
      <c r="AI159" s="129" t="str">
        <f t="shared" si="418"/>
        <v/>
      </c>
      <c r="AJ159" s="130"/>
      <c r="AK159" s="129" t="str">
        <f t="shared" si="415"/>
        <v/>
      </c>
      <c r="AL159" s="129" t="str">
        <f t="shared" si="416"/>
        <v/>
      </c>
      <c r="AM159" s="129" t="str">
        <f>IFERROR(VLOOKUP(AL159,FORMULAS!$B$69:$D$77,3,FALSE),"")</f>
        <v/>
      </c>
      <c r="AN159" s="129" t="str">
        <f t="shared" si="417"/>
        <v/>
      </c>
      <c r="AO159" s="129" t="str">
        <f>IFERROR(VLOOKUP(AL159,FORMULAS!$B$69:$C$77,2,FALSE),"")</f>
        <v/>
      </c>
      <c r="AP159" s="360"/>
      <c r="AQ159" s="360"/>
      <c r="AR159" s="357"/>
      <c r="AS159" s="357"/>
      <c r="AT159" s="360"/>
      <c r="AU159" s="360"/>
      <c r="AV159" s="360"/>
      <c r="AW159" s="363"/>
      <c r="AX159" s="363"/>
      <c r="AY159" s="366"/>
      <c r="AZ159" s="369"/>
      <c r="BA159" s="372"/>
      <c r="BB159" s="131"/>
      <c r="BC159" s="132"/>
      <c r="BD159" s="132"/>
      <c r="BE159" s="161"/>
      <c r="BF159" s="201"/>
      <c r="BG159" s="139"/>
      <c r="BH159" s="132"/>
      <c r="BI159" s="132"/>
      <c r="BJ159" s="156"/>
    </row>
    <row r="160" spans="2:62" s="86" customFormat="1" ht="108" x14ac:dyDescent="0.25">
      <c r="B160" s="376" t="s">
        <v>85</v>
      </c>
      <c r="C160" s="361">
        <v>42</v>
      </c>
      <c r="D160" s="373" t="s">
        <v>1009</v>
      </c>
      <c r="E160" s="373" t="s">
        <v>1010</v>
      </c>
      <c r="F160" s="361" t="s">
        <v>89</v>
      </c>
      <c r="G160" s="361" t="s">
        <v>96</v>
      </c>
      <c r="H160" s="373" t="s">
        <v>1011</v>
      </c>
      <c r="I160" s="379"/>
      <c r="J160" s="379"/>
      <c r="K160" s="109" t="s">
        <v>1012</v>
      </c>
      <c r="L160" s="352" t="s">
        <v>1013</v>
      </c>
      <c r="M160" s="364" t="str">
        <f>IF(F160="gestion","impacto",IF(F160="corrupcion","impactocorrupcion",IF(F160="seguridad_de_la_informacion","impacto","")))</f>
        <v>impacto</v>
      </c>
      <c r="N160" s="361" t="s">
        <v>134</v>
      </c>
      <c r="O160" s="361" t="s">
        <v>22</v>
      </c>
      <c r="P160" s="364" t="str">
        <f>N160&amp;O160</f>
        <v>Rara vezMenor</v>
      </c>
      <c r="Q160" s="370" t="str">
        <f>IFERROR(VLOOKUP(P160,[17]FORMULAS!$B$37:$C$61,2,FALSE),"")</f>
        <v>Riesgo bajo</v>
      </c>
      <c r="R160" s="343" t="s">
        <v>1014</v>
      </c>
      <c r="S160" s="344"/>
      <c r="T160" s="339" t="s">
        <v>286</v>
      </c>
      <c r="U160" s="113">
        <f>IF(T160="Asignado",15,0)</f>
        <v>15</v>
      </c>
      <c r="V160" s="339" t="s">
        <v>287</v>
      </c>
      <c r="W160" s="113">
        <f>IF(V160="Adecuado",15,0)</f>
        <v>15</v>
      </c>
      <c r="X160" s="339" t="s">
        <v>288</v>
      </c>
      <c r="Y160" s="113">
        <f>IF(X160="Oportuna",15,0)</f>
        <v>15</v>
      </c>
      <c r="Z160" s="339" t="s">
        <v>291</v>
      </c>
      <c r="AA160" s="113">
        <f>IF(Z160="Prevenir",15,IF(Z160="Detectar",10,0))</f>
        <v>15</v>
      </c>
      <c r="AB160" s="339" t="s">
        <v>290</v>
      </c>
      <c r="AC160" s="113">
        <f>IF(AB160="Confiable",15,0)</f>
        <v>15</v>
      </c>
      <c r="AD160" s="339" t="s">
        <v>292</v>
      </c>
      <c r="AE160" s="113">
        <f>IF(AD160="Se investigan y resuelven oportunamente",15,0)</f>
        <v>15</v>
      </c>
      <c r="AF160" s="339" t="s">
        <v>289</v>
      </c>
      <c r="AG160" s="113">
        <f>IF(AF160="Completa",10,IF(AF160="incompleta",5,0))</f>
        <v>10</v>
      </c>
      <c r="AH160" s="399">
        <f t="shared" si="407"/>
        <v>100</v>
      </c>
      <c r="AI160" s="399" t="str">
        <f>IF(AH160&gt;=96,"Fuerte",IF(AH160&gt;=86,"Moderado",IF(AH160&gt;=1,"Débil","")))</f>
        <v>Fuerte</v>
      </c>
      <c r="AJ160" s="402" t="s">
        <v>293</v>
      </c>
      <c r="AK160" s="399" t="str">
        <f>IF(AJ160="Siempre se ejecuta","Fuerte",IF(AJ160="Algunas veces","Moderado",IF(AJ160="no se ejecuta","Débil","")))</f>
        <v>Fuerte</v>
      </c>
      <c r="AL160" s="116" t="str">
        <f>AI160&amp;AK160</f>
        <v>FuerteFuerte</v>
      </c>
      <c r="AM160" s="399" t="str">
        <f>IFERROR(VLOOKUP(AL160,[17]FORMULAS!$B$69:$D$77,3,FALSE),"")</f>
        <v>Fuerte</v>
      </c>
      <c r="AN160" s="399">
        <f>IF(AM160="fuerte",100,IF(AM160="Moderado",50,IF(AM160="débil",0,"")))</f>
        <v>100</v>
      </c>
      <c r="AO160" s="399" t="str">
        <f>IFERROR(VLOOKUP(AL160,[17]FORMULAS!$B$69:$D$77,2,FALSE),"")</f>
        <v>No</v>
      </c>
      <c r="AP160" s="358">
        <f>IFERROR(AVERAGE(AN160:AN161),0)</f>
        <v>100</v>
      </c>
      <c r="AQ160" s="358" t="str">
        <f>IF(AP160&gt;=100,"Fuerte",IF(AP160&gt;=50,"Moderado",IF(AP160&gt;=1,"Débil","")))</f>
        <v>Fuerte</v>
      </c>
      <c r="AR160" s="355" t="s">
        <v>160</v>
      </c>
      <c r="AS160" s="355" t="s">
        <v>160</v>
      </c>
      <c r="AT160" s="358" t="str">
        <f>+AQ160&amp;AR160&amp;AS160</f>
        <v>FuerteDirectamenteDirectamente</v>
      </c>
      <c r="AU160" s="358">
        <f>IFERROR(VLOOKUP(AT160,[17]FORMULAS!$B$94:$D$101,2,FALSE),0)</f>
        <v>2</v>
      </c>
      <c r="AV160" s="358">
        <f>IFERROR(VLOOKUP(AT160,[17]FORMULAS!$B$94:$D$101,3,FALSE),0)</f>
        <v>2</v>
      </c>
      <c r="AW160" s="361" t="s">
        <v>134</v>
      </c>
      <c r="AX160" s="361" t="s">
        <v>22</v>
      </c>
      <c r="AY160" s="364" t="str">
        <f>AW160&amp;AX160</f>
        <v>Rara vezMenor</v>
      </c>
      <c r="AZ160" s="367" t="str">
        <f>IFERROR(VLOOKUP(AY160,[17]FORMULAS!$B$37:$C$61,2,FALSE),"")</f>
        <v>Riesgo bajo</v>
      </c>
      <c r="BA160" s="370" t="s">
        <v>167</v>
      </c>
      <c r="BB160" s="153" t="s">
        <v>1014</v>
      </c>
      <c r="BC160" s="119" t="s">
        <v>1016</v>
      </c>
      <c r="BD160" s="119" t="s">
        <v>1017</v>
      </c>
      <c r="BE160" s="160" t="s">
        <v>1018</v>
      </c>
      <c r="BF160" s="160" t="s">
        <v>1019</v>
      </c>
      <c r="BG160" s="119" t="s">
        <v>1020</v>
      </c>
      <c r="BH160" s="119" t="s">
        <v>1021</v>
      </c>
      <c r="BI160" s="119" t="s">
        <v>1007</v>
      </c>
      <c r="BJ160" s="154" t="s">
        <v>1022</v>
      </c>
    </row>
    <row r="161" spans="2:62" s="86" customFormat="1" ht="108.75" thickBot="1" x14ac:dyDescent="0.3">
      <c r="B161" s="378"/>
      <c r="C161" s="363"/>
      <c r="D161" s="375"/>
      <c r="E161" s="375"/>
      <c r="F161" s="363"/>
      <c r="G161" s="363"/>
      <c r="H161" s="375"/>
      <c r="I161" s="381"/>
      <c r="J161" s="381"/>
      <c r="K161" s="137" t="s">
        <v>1015</v>
      </c>
      <c r="L161" s="354"/>
      <c r="M161" s="366"/>
      <c r="N161" s="363"/>
      <c r="O161" s="363"/>
      <c r="P161" s="366"/>
      <c r="Q161" s="372"/>
      <c r="R161" s="347"/>
      <c r="S161" s="348"/>
      <c r="T161" s="342"/>
      <c r="U161" s="126">
        <f t="shared" ref="U161" si="419">IF(T161="Asignado",15,0)</f>
        <v>0</v>
      </c>
      <c r="V161" s="342"/>
      <c r="W161" s="126">
        <f t="shared" ref="W161" si="420">IF(V161="Adecuado",15,0)</f>
        <v>0</v>
      </c>
      <c r="X161" s="342"/>
      <c r="Y161" s="126">
        <f t="shared" ref="Y161" si="421">IF(X161="Oportuna",15,0)</f>
        <v>0</v>
      </c>
      <c r="Z161" s="342"/>
      <c r="AA161" s="126">
        <f t="shared" ref="AA161" si="422">IF(Z161="Prevenir",15,IF(Z161="Detectar",10,0))</f>
        <v>0</v>
      </c>
      <c r="AB161" s="342"/>
      <c r="AC161" s="126">
        <f t="shared" ref="AC161" si="423">IF(AB161="Confiable",15,0)</f>
        <v>0</v>
      </c>
      <c r="AD161" s="342"/>
      <c r="AE161" s="126">
        <f t="shared" ref="AE161" si="424">IF(AD161="Se investigan y resuelven oportunamente",15,0)</f>
        <v>0</v>
      </c>
      <c r="AF161" s="342"/>
      <c r="AG161" s="126">
        <f t="shared" ref="AG161" si="425">IF(AF161="Completa",10,IF(AF161="incompleta",5,0))</f>
        <v>0</v>
      </c>
      <c r="AH161" s="401"/>
      <c r="AI161" s="401"/>
      <c r="AJ161" s="404"/>
      <c r="AK161" s="401"/>
      <c r="AL161" s="129" t="str">
        <f t="shared" ref="AL161" si="426">AI161&amp;AK161</f>
        <v/>
      </c>
      <c r="AM161" s="401"/>
      <c r="AN161" s="401"/>
      <c r="AO161" s="401"/>
      <c r="AP161" s="360"/>
      <c r="AQ161" s="360"/>
      <c r="AR161" s="357"/>
      <c r="AS161" s="357"/>
      <c r="AT161" s="360"/>
      <c r="AU161" s="360"/>
      <c r="AV161" s="360"/>
      <c r="AW161" s="363"/>
      <c r="AX161" s="363"/>
      <c r="AY161" s="366"/>
      <c r="AZ161" s="369"/>
      <c r="BA161" s="372"/>
      <c r="BB161" s="161" t="s">
        <v>1014</v>
      </c>
      <c r="BC161" s="139" t="s">
        <v>1016</v>
      </c>
      <c r="BD161" s="139" t="s">
        <v>1017</v>
      </c>
      <c r="BE161" s="162" t="s">
        <v>1018</v>
      </c>
      <c r="BF161" s="162" t="s">
        <v>1019</v>
      </c>
      <c r="BG161" s="139" t="s">
        <v>1020</v>
      </c>
      <c r="BH161" s="139" t="s">
        <v>1021</v>
      </c>
      <c r="BI161" s="139" t="s">
        <v>1007</v>
      </c>
      <c r="BJ161" s="156" t="s">
        <v>1022</v>
      </c>
    </row>
    <row r="162" spans="2:62" s="86" customFormat="1" ht="96" x14ac:dyDescent="0.25">
      <c r="B162" s="376" t="s">
        <v>85</v>
      </c>
      <c r="C162" s="361">
        <v>43</v>
      </c>
      <c r="D162" s="373" t="s">
        <v>1023</v>
      </c>
      <c r="E162" s="373" t="s">
        <v>1024</v>
      </c>
      <c r="F162" s="361" t="s">
        <v>89</v>
      </c>
      <c r="G162" s="361" t="s">
        <v>96</v>
      </c>
      <c r="H162" s="373" t="s">
        <v>996</v>
      </c>
      <c r="I162" s="379"/>
      <c r="J162" s="379"/>
      <c r="K162" s="352" t="s">
        <v>1025</v>
      </c>
      <c r="L162" s="109" t="s">
        <v>1026</v>
      </c>
      <c r="M162" s="364" t="str">
        <f>IF(F162="gestion","impacto",IF(F162="corrupcion","impactocorrupcion",IF(F162="seguridad_de_la_informacion","impacto","")))</f>
        <v>impacto</v>
      </c>
      <c r="N162" s="361" t="s">
        <v>134</v>
      </c>
      <c r="O162" s="361" t="s">
        <v>22</v>
      </c>
      <c r="P162" s="364" t="str">
        <f>N162&amp;O162</f>
        <v>Rara vezMenor</v>
      </c>
      <c r="Q162" s="370" t="str">
        <f>IFERROR(VLOOKUP(P162,[17]FORMULAS!$B$37:$C$61,2,FALSE),"")</f>
        <v>Riesgo bajo</v>
      </c>
      <c r="R162" s="373" t="s">
        <v>1027</v>
      </c>
      <c r="S162" s="373"/>
      <c r="T162" s="112" t="s">
        <v>286</v>
      </c>
      <c r="U162" s="113">
        <f>IF(T162="Asignado",15,0)</f>
        <v>15</v>
      </c>
      <c r="V162" s="112" t="s">
        <v>287</v>
      </c>
      <c r="W162" s="113">
        <f>IF(V162="Adecuado",15,0)</f>
        <v>15</v>
      </c>
      <c r="X162" s="112" t="s">
        <v>288</v>
      </c>
      <c r="Y162" s="113">
        <f>IF(X162="Oportuna",15,0)</f>
        <v>15</v>
      </c>
      <c r="Z162" s="112" t="s">
        <v>291</v>
      </c>
      <c r="AA162" s="113">
        <f>IF(Z162="Prevenir",15,IF(Z162="Detectar",10,0))</f>
        <v>15</v>
      </c>
      <c r="AB162" s="112" t="s">
        <v>290</v>
      </c>
      <c r="AC162" s="113">
        <f>IF(AB162="Confiable",15,0)</f>
        <v>15</v>
      </c>
      <c r="AD162" s="112" t="s">
        <v>292</v>
      </c>
      <c r="AE162" s="113">
        <f>IF(AD162="Se investigan y resuelven oportunamente",15,0)</f>
        <v>15</v>
      </c>
      <c r="AF162" s="112" t="s">
        <v>289</v>
      </c>
      <c r="AG162" s="113">
        <f>IF(AF162="Completa",10,IF(AF162="incompleta",5,0))</f>
        <v>10</v>
      </c>
      <c r="AH162" s="116">
        <f t="shared" ref="AH162:AH166" si="427">U162+W162+Y162+AA162+AC162+AE162+AG162</f>
        <v>100</v>
      </c>
      <c r="AI162" s="116" t="str">
        <f t="shared" ref="AI162:AI166" si="428">IF(AH162&gt;=96,"Fuerte",IF(AH162&gt;=86,"Moderado",IF(AH162&gt;=1,"Débil","")))</f>
        <v>Fuerte</v>
      </c>
      <c r="AJ162" s="117" t="s">
        <v>293</v>
      </c>
      <c r="AK162" s="116" t="str">
        <f>IF(AJ162="Siempre se ejecuta","Fuerte",IF(AJ162="Algunas veces","Moderado",IF(AJ162="no se ejecuta","Débil","")))</f>
        <v>Fuerte</v>
      </c>
      <c r="AL162" s="116" t="str">
        <f>AI162&amp;AK162</f>
        <v>FuerteFuerte</v>
      </c>
      <c r="AM162" s="116" t="str">
        <f>IFERROR(VLOOKUP(AL162,[17]FORMULAS!$B$69:$D$77,3,FALSE),"")</f>
        <v>Fuerte</v>
      </c>
      <c r="AN162" s="116">
        <f>IF(AM162="fuerte",100,IF(AM162="Moderado",50,IF(AM162="débil",0,"")))</f>
        <v>100</v>
      </c>
      <c r="AO162" s="116" t="str">
        <f>IFERROR(VLOOKUP(AL162,[17]FORMULAS!$B$69:$D$77,2,FALSE),"")</f>
        <v>No</v>
      </c>
      <c r="AP162" s="358">
        <f>IFERROR(AVERAGE(AN162:AN163),0)</f>
        <v>100</v>
      </c>
      <c r="AQ162" s="358" t="str">
        <f>IF(AP162&gt;=100,"Fuerte",IF(AP162&gt;=50,"Moderado",IF(AP162&gt;=1,"Débil","")))</f>
        <v>Fuerte</v>
      </c>
      <c r="AR162" s="355" t="s">
        <v>160</v>
      </c>
      <c r="AS162" s="355" t="s">
        <v>160</v>
      </c>
      <c r="AT162" s="358" t="str">
        <f>+AQ162&amp;AR162&amp;AS162</f>
        <v>FuerteDirectamenteDirectamente</v>
      </c>
      <c r="AU162" s="358">
        <f>IFERROR(VLOOKUP(AT162,[17]FORMULAS!$B$94:$D$101,2,FALSE),0)</f>
        <v>2</v>
      </c>
      <c r="AV162" s="358">
        <f>IFERROR(VLOOKUP(AT162,[17]FORMULAS!$B$94:$D$101,3,FALSE),0)</f>
        <v>2</v>
      </c>
      <c r="AW162" s="361" t="s">
        <v>134</v>
      </c>
      <c r="AX162" s="361" t="s">
        <v>22</v>
      </c>
      <c r="AY162" s="364" t="str">
        <f>AW162&amp;AX162</f>
        <v>Rara vezMenor</v>
      </c>
      <c r="AZ162" s="367" t="str">
        <f>IFERROR(VLOOKUP(AY162,[17]FORMULAS!$B$37:$C$61,2,FALSE),"")</f>
        <v>Riesgo bajo</v>
      </c>
      <c r="BA162" s="370" t="s">
        <v>167</v>
      </c>
      <c r="BB162" s="153" t="s">
        <v>1027</v>
      </c>
      <c r="BC162" s="119" t="s">
        <v>1029</v>
      </c>
      <c r="BD162" s="119" t="s">
        <v>1017</v>
      </c>
      <c r="BE162" s="160" t="s">
        <v>1030</v>
      </c>
      <c r="BF162" s="160" t="s">
        <v>1031</v>
      </c>
      <c r="BG162" s="119" t="s">
        <v>1005</v>
      </c>
      <c r="BH162" s="119" t="s">
        <v>1006</v>
      </c>
      <c r="BI162" s="119" t="s">
        <v>1007</v>
      </c>
      <c r="BJ162" s="154" t="s">
        <v>1022</v>
      </c>
    </row>
    <row r="163" spans="2:62" s="86" customFormat="1" ht="96.75" thickBot="1" x14ac:dyDescent="0.3">
      <c r="B163" s="378"/>
      <c r="C163" s="363"/>
      <c r="D163" s="375"/>
      <c r="E163" s="375"/>
      <c r="F163" s="363"/>
      <c r="G163" s="363"/>
      <c r="H163" s="375"/>
      <c r="I163" s="381"/>
      <c r="J163" s="381"/>
      <c r="K163" s="354"/>
      <c r="L163" s="137" t="s">
        <v>1028</v>
      </c>
      <c r="M163" s="366"/>
      <c r="N163" s="363"/>
      <c r="O163" s="363"/>
      <c r="P163" s="366"/>
      <c r="Q163" s="372"/>
      <c r="R163" s="375" t="s">
        <v>1027</v>
      </c>
      <c r="S163" s="375"/>
      <c r="T163" s="125" t="s">
        <v>286</v>
      </c>
      <c r="U163" s="126">
        <f t="shared" ref="U163" si="429">IF(T163="Asignado",15,0)</f>
        <v>15</v>
      </c>
      <c r="V163" s="125" t="s">
        <v>287</v>
      </c>
      <c r="W163" s="126">
        <f t="shared" ref="W163" si="430">IF(V163="Adecuado",15,0)</f>
        <v>15</v>
      </c>
      <c r="X163" s="125" t="s">
        <v>288</v>
      </c>
      <c r="Y163" s="126">
        <f t="shared" ref="Y163" si="431">IF(X163="Oportuna",15,0)</f>
        <v>15</v>
      </c>
      <c r="Z163" s="125" t="s">
        <v>291</v>
      </c>
      <c r="AA163" s="126">
        <f t="shared" ref="AA163" si="432">IF(Z163="Prevenir",15,IF(Z163="Detectar",10,0))</f>
        <v>15</v>
      </c>
      <c r="AB163" s="125" t="s">
        <v>290</v>
      </c>
      <c r="AC163" s="126">
        <f t="shared" ref="AC163" si="433">IF(AB163="Confiable",15,0)</f>
        <v>15</v>
      </c>
      <c r="AD163" s="125" t="s">
        <v>292</v>
      </c>
      <c r="AE163" s="126">
        <f t="shared" ref="AE163" si="434">IF(AD163="Se investigan y resuelven oportunamente",15,0)</f>
        <v>15</v>
      </c>
      <c r="AF163" s="125" t="s">
        <v>289</v>
      </c>
      <c r="AG163" s="126">
        <f t="shared" ref="AG163" si="435">IF(AF163="Completa",10,IF(AF163="incompleta",5,0))</f>
        <v>10</v>
      </c>
      <c r="AH163" s="129">
        <f t="shared" si="427"/>
        <v>100</v>
      </c>
      <c r="AI163" s="129" t="str">
        <f t="shared" si="428"/>
        <v>Fuerte</v>
      </c>
      <c r="AJ163" s="130" t="s">
        <v>293</v>
      </c>
      <c r="AK163" s="129" t="str">
        <f t="shared" ref="AK163" si="436">IF(AJ163="Siempre se ejecuta","Fuerte",IF(AJ163="Algunas veces","Moderado",IF(AJ163="no se ejecuta","Débil","")))</f>
        <v>Fuerte</v>
      </c>
      <c r="AL163" s="129" t="str">
        <f t="shared" ref="AL163" si="437">AI163&amp;AK163</f>
        <v>FuerteFuerte</v>
      </c>
      <c r="AM163" s="129" t="str">
        <f>IFERROR(VLOOKUP(AL163,[17]FORMULAS!$B$69:$D$77,3,FALSE),"")</f>
        <v>Fuerte</v>
      </c>
      <c r="AN163" s="129">
        <f t="shared" ref="AN163" si="438">IF(AM163="fuerte",100,IF(AM163="Moderado",50,IF(AM163="débil",0,"")))</f>
        <v>100</v>
      </c>
      <c r="AO163" s="129" t="str">
        <f>IFERROR(VLOOKUP(AL163,[17]FORMULAS!$B$69:$C$77,2,FALSE),"")</f>
        <v>No</v>
      </c>
      <c r="AP163" s="360"/>
      <c r="AQ163" s="360"/>
      <c r="AR163" s="357"/>
      <c r="AS163" s="357"/>
      <c r="AT163" s="360"/>
      <c r="AU163" s="360"/>
      <c r="AV163" s="360"/>
      <c r="AW163" s="363"/>
      <c r="AX163" s="363"/>
      <c r="AY163" s="366"/>
      <c r="AZ163" s="369"/>
      <c r="BA163" s="372"/>
      <c r="BB163" s="161" t="s">
        <v>1027</v>
      </c>
      <c r="BC163" s="139" t="s">
        <v>1029</v>
      </c>
      <c r="BD163" s="139" t="s">
        <v>1017</v>
      </c>
      <c r="BE163" s="162" t="s">
        <v>1030</v>
      </c>
      <c r="BF163" s="162" t="s">
        <v>1031</v>
      </c>
      <c r="BG163" s="139" t="s">
        <v>1005</v>
      </c>
      <c r="BH163" s="139" t="s">
        <v>1006</v>
      </c>
      <c r="BI163" s="139" t="s">
        <v>1007</v>
      </c>
      <c r="BJ163" s="156" t="s">
        <v>1022</v>
      </c>
    </row>
    <row r="164" spans="2:62" s="86" customFormat="1" ht="84" x14ac:dyDescent="0.25">
      <c r="B164" s="376" t="s">
        <v>85</v>
      </c>
      <c r="C164" s="361">
        <v>44</v>
      </c>
      <c r="D164" s="373" t="s">
        <v>1032</v>
      </c>
      <c r="E164" s="373" t="s">
        <v>1033</v>
      </c>
      <c r="F164" s="361" t="s">
        <v>89</v>
      </c>
      <c r="G164" s="361" t="s">
        <v>96</v>
      </c>
      <c r="H164" s="373" t="s">
        <v>996</v>
      </c>
      <c r="I164" s="379"/>
      <c r="J164" s="379"/>
      <c r="K164" s="109" t="s">
        <v>1034</v>
      </c>
      <c r="L164" s="109" t="s">
        <v>1035</v>
      </c>
      <c r="M164" s="364" t="str">
        <f>IF(F164="gestion","impacto",IF(F164="corrupcion","impactocorrupcion",IF(F164="seguridad_de_la_informacion","impacto","")))</f>
        <v>impacto</v>
      </c>
      <c r="N164" s="361" t="s">
        <v>17</v>
      </c>
      <c r="O164" s="361" t="s">
        <v>22</v>
      </c>
      <c r="P164" s="364" t="str">
        <f>N164&amp;O164</f>
        <v>ImprobableMenor</v>
      </c>
      <c r="Q164" s="370" t="str">
        <f>IFERROR(VLOOKUP(P164,[17]FORMULAS!$B$37:$C$61,2,FALSE),"")</f>
        <v>Riesgo bajo</v>
      </c>
      <c r="R164" s="373" t="s">
        <v>1036</v>
      </c>
      <c r="S164" s="373"/>
      <c r="T164" s="112" t="s">
        <v>286</v>
      </c>
      <c r="U164" s="113">
        <f>IF(T164="Asignado",15,0)</f>
        <v>15</v>
      </c>
      <c r="V164" s="112" t="s">
        <v>287</v>
      </c>
      <c r="W164" s="113">
        <f>IF(V164="Adecuado",15,0)</f>
        <v>15</v>
      </c>
      <c r="X164" s="112" t="s">
        <v>288</v>
      </c>
      <c r="Y164" s="113">
        <f>IF(X164="Oportuna",15,0)</f>
        <v>15</v>
      </c>
      <c r="Z164" s="112" t="s">
        <v>291</v>
      </c>
      <c r="AA164" s="113">
        <f>IF(Z164="Prevenir",15,IF(Z164="Detectar",10,0))</f>
        <v>15</v>
      </c>
      <c r="AB164" s="112" t="s">
        <v>290</v>
      </c>
      <c r="AC164" s="113">
        <f>IF(AB164="Confiable",15,0)</f>
        <v>15</v>
      </c>
      <c r="AD164" s="112" t="s">
        <v>292</v>
      </c>
      <c r="AE164" s="113">
        <f>IF(AD164="Se investigan y resuelven oportunamente",15,0)</f>
        <v>15</v>
      </c>
      <c r="AF164" s="112" t="s">
        <v>289</v>
      </c>
      <c r="AG164" s="113">
        <f>IF(AF164="Completa",10,IF(AF164="incompleta",5,0))</f>
        <v>10</v>
      </c>
      <c r="AH164" s="116">
        <f t="shared" si="427"/>
        <v>100</v>
      </c>
      <c r="AI164" s="116" t="str">
        <f t="shared" si="428"/>
        <v>Fuerte</v>
      </c>
      <c r="AJ164" s="117" t="s">
        <v>293</v>
      </c>
      <c r="AK164" s="116" t="str">
        <f>IF(AJ164="Siempre se ejecuta","Fuerte",IF(AJ164="Algunas veces","Moderado",IF(AJ164="no se ejecuta","Débil","")))</f>
        <v>Fuerte</v>
      </c>
      <c r="AL164" s="116" t="str">
        <f>AI164&amp;AK164</f>
        <v>FuerteFuerte</v>
      </c>
      <c r="AM164" s="116" t="str">
        <f>IFERROR(VLOOKUP(AL164,[17]FORMULAS!$B$69:$D$77,3,FALSE),"")</f>
        <v>Fuerte</v>
      </c>
      <c r="AN164" s="116">
        <f>IF(AM164="fuerte",100,IF(AM164="Moderado",50,IF(AM164="débil",0,"")))</f>
        <v>100</v>
      </c>
      <c r="AO164" s="116" t="str">
        <f>IFERROR(VLOOKUP(AL164,[17]FORMULAS!$B$69:$D$77,2,FALSE),"")</f>
        <v>No</v>
      </c>
      <c r="AP164" s="358">
        <f>IFERROR(AVERAGE(AN164:AN165),0)</f>
        <v>100</v>
      </c>
      <c r="AQ164" s="358" t="str">
        <f>IF(AP164&gt;=100,"Fuerte",IF(AP164&gt;=50,"Moderado",IF(AP164&gt;=1,"Débil","")))</f>
        <v>Fuerte</v>
      </c>
      <c r="AR164" s="355" t="s">
        <v>160</v>
      </c>
      <c r="AS164" s="355" t="s">
        <v>160</v>
      </c>
      <c r="AT164" s="358" t="str">
        <f>+AQ164&amp;AR164&amp;AS164</f>
        <v>FuerteDirectamenteDirectamente</v>
      </c>
      <c r="AU164" s="358">
        <f>IFERROR(VLOOKUP(AT164,[17]FORMULAS!$B$94:$D$101,2,FALSE),0)</f>
        <v>2</v>
      </c>
      <c r="AV164" s="358">
        <f>IFERROR(VLOOKUP(AT164,[17]FORMULAS!$B$94:$D$101,3,FALSE),0)</f>
        <v>2</v>
      </c>
      <c r="AW164" s="361" t="s">
        <v>134</v>
      </c>
      <c r="AX164" s="361" t="s">
        <v>22</v>
      </c>
      <c r="AY164" s="364" t="str">
        <f>AW164&amp;AX164</f>
        <v>Rara vezMenor</v>
      </c>
      <c r="AZ164" s="367" t="str">
        <f>IFERROR(VLOOKUP(AY164,[17]FORMULAS!$B$37:$C$61,2,FALSE),"")</f>
        <v>Riesgo bajo</v>
      </c>
      <c r="BA164" s="370" t="s">
        <v>167</v>
      </c>
      <c r="BB164" s="153" t="s">
        <v>1036</v>
      </c>
      <c r="BC164" s="119" t="s">
        <v>1040</v>
      </c>
      <c r="BD164" s="119" t="s">
        <v>1041</v>
      </c>
      <c r="BE164" s="160" t="s">
        <v>1042</v>
      </c>
      <c r="BF164" s="160" t="s">
        <v>1043</v>
      </c>
      <c r="BG164" s="119" t="s">
        <v>1044</v>
      </c>
      <c r="BH164" s="119" t="s">
        <v>1045</v>
      </c>
      <c r="BI164" s="119" t="s">
        <v>1046</v>
      </c>
      <c r="BJ164" s="154" t="s">
        <v>1022</v>
      </c>
    </row>
    <row r="165" spans="2:62" s="86" customFormat="1" ht="84.75" thickBot="1" x14ac:dyDescent="0.3">
      <c r="B165" s="378"/>
      <c r="C165" s="363"/>
      <c r="D165" s="375"/>
      <c r="E165" s="375"/>
      <c r="F165" s="363"/>
      <c r="G165" s="363"/>
      <c r="H165" s="375"/>
      <c r="I165" s="381"/>
      <c r="J165" s="381"/>
      <c r="K165" s="137" t="s">
        <v>1037</v>
      </c>
      <c r="L165" s="137" t="s">
        <v>1038</v>
      </c>
      <c r="M165" s="366"/>
      <c r="N165" s="363"/>
      <c r="O165" s="363"/>
      <c r="P165" s="366"/>
      <c r="Q165" s="372"/>
      <c r="R165" s="375" t="s">
        <v>1039</v>
      </c>
      <c r="S165" s="375"/>
      <c r="T165" s="125" t="s">
        <v>286</v>
      </c>
      <c r="U165" s="126">
        <f t="shared" ref="U165" si="439">IF(T165="Asignado",15,0)</f>
        <v>15</v>
      </c>
      <c r="V165" s="125" t="s">
        <v>287</v>
      </c>
      <c r="W165" s="126">
        <f t="shared" ref="W165" si="440">IF(V165="Adecuado",15,0)</f>
        <v>15</v>
      </c>
      <c r="X165" s="125" t="s">
        <v>288</v>
      </c>
      <c r="Y165" s="126">
        <f t="shared" ref="Y165" si="441">IF(X165="Oportuna",15,0)</f>
        <v>15</v>
      </c>
      <c r="Z165" s="125" t="s">
        <v>291</v>
      </c>
      <c r="AA165" s="126">
        <f t="shared" ref="AA165" si="442">IF(Z165="Prevenir",15,IF(Z165="Detectar",10,0))</f>
        <v>15</v>
      </c>
      <c r="AB165" s="125" t="s">
        <v>290</v>
      </c>
      <c r="AC165" s="126">
        <f t="shared" ref="AC165" si="443">IF(AB165="Confiable",15,0)</f>
        <v>15</v>
      </c>
      <c r="AD165" s="125" t="s">
        <v>292</v>
      </c>
      <c r="AE165" s="126">
        <f t="shared" ref="AE165" si="444">IF(AD165="Se investigan y resuelven oportunamente",15,0)</f>
        <v>15</v>
      </c>
      <c r="AF165" s="125" t="s">
        <v>289</v>
      </c>
      <c r="AG165" s="126">
        <f t="shared" ref="AG165" si="445">IF(AF165="Completa",10,IF(AF165="incompleta",5,0))</f>
        <v>10</v>
      </c>
      <c r="AH165" s="129">
        <f t="shared" si="427"/>
        <v>100</v>
      </c>
      <c r="AI165" s="129" t="str">
        <f t="shared" si="428"/>
        <v>Fuerte</v>
      </c>
      <c r="AJ165" s="130" t="s">
        <v>293</v>
      </c>
      <c r="AK165" s="129" t="str">
        <f t="shared" ref="AK165" si="446">IF(AJ165="Siempre se ejecuta","Fuerte",IF(AJ165="Algunas veces","Moderado",IF(AJ165="no se ejecuta","Débil","")))</f>
        <v>Fuerte</v>
      </c>
      <c r="AL165" s="129" t="str">
        <f t="shared" ref="AL165" si="447">AI165&amp;AK165</f>
        <v>FuerteFuerte</v>
      </c>
      <c r="AM165" s="129" t="str">
        <f>IFERROR(VLOOKUP(AL165,[17]FORMULAS!$B$69:$D$77,3,FALSE),"")</f>
        <v>Fuerte</v>
      </c>
      <c r="AN165" s="129">
        <f t="shared" ref="AN165" si="448">IF(AM165="fuerte",100,IF(AM165="Moderado",50,IF(AM165="débil",0,"")))</f>
        <v>100</v>
      </c>
      <c r="AO165" s="129" t="str">
        <f>IFERROR(VLOOKUP(AL165,[17]FORMULAS!$B$69:$C$77,2,FALSE),"")</f>
        <v>No</v>
      </c>
      <c r="AP165" s="360"/>
      <c r="AQ165" s="360"/>
      <c r="AR165" s="357"/>
      <c r="AS165" s="357"/>
      <c r="AT165" s="360"/>
      <c r="AU165" s="360"/>
      <c r="AV165" s="360"/>
      <c r="AW165" s="363"/>
      <c r="AX165" s="363"/>
      <c r="AY165" s="366"/>
      <c r="AZ165" s="369"/>
      <c r="BA165" s="372"/>
      <c r="BB165" s="161" t="s">
        <v>1036</v>
      </c>
      <c r="BC165" s="139" t="s">
        <v>1040</v>
      </c>
      <c r="BD165" s="139" t="s">
        <v>1041</v>
      </c>
      <c r="BE165" s="162" t="s">
        <v>1042</v>
      </c>
      <c r="BF165" s="162" t="s">
        <v>1043</v>
      </c>
      <c r="BG165" s="139" t="s">
        <v>1044</v>
      </c>
      <c r="BH165" s="139" t="s">
        <v>1045</v>
      </c>
      <c r="BI165" s="139" t="s">
        <v>1046</v>
      </c>
      <c r="BJ165" s="156" t="s">
        <v>1022</v>
      </c>
    </row>
    <row r="166" spans="2:62" s="86" customFormat="1" ht="144.75" thickBot="1" x14ac:dyDescent="0.3">
      <c r="B166" s="308" t="s">
        <v>85</v>
      </c>
      <c r="C166" s="309">
        <v>45</v>
      </c>
      <c r="D166" s="310" t="s">
        <v>1047</v>
      </c>
      <c r="E166" s="310" t="s">
        <v>1048</v>
      </c>
      <c r="F166" s="309" t="s">
        <v>91</v>
      </c>
      <c r="G166" s="309" t="s">
        <v>101</v>
      </c>
      <c r="H166" s="310" t="s">
        <v>1049</v>
      </c>
      <c r="I166" s="311" t="s">
        <v>129</v>
      </c>
      <c r="J166" s="311" t="s">
        <v>113</v>
      </c>
      <c r="K166" s="312" t="s">
        <v>1050</v>
      </c>
      <c r="L166" s="312" t="s">
        <v>1051</v>
      </c>
      <c r="M166" s="313" t="str">
        <f>IF(F166="gestion","impacto",IF(F166="corrupcion","impactocorrupcion",IF(F166="seguridad_de_la_informacion","impacto","")))</f>
        <v>impacto</v>
      </c>
      <c r="N166" s="309" t="s">
        <v>134</v>
      </c>
      <c r="O166" s="309" t="s">
        <v>23</v>
      </c>
      <c r="P166" s="313" t="str">
        <f>N166&amp;O166</f>
        <v>Rara vezModerado</v>
      </c>
      <c r="Q166" s="314" t="str">
        <f>IFERROR(VLOOKUP(P166,[17]FORMULAS!$B$37:$C$61,2,FALSE),"")</f>
        <v>Riesgo moderado</v>
      </c>
      <c r="R166" s="431" t="s">
        <v>1052</v>
      </c>
      <c r="S166" s="431"/>
      <c r="T166" s="309" t="s">
        <v>286</v>
      </c>
      <c r="U166" s="313">
        <f>IF(T166="Asignado",15,0)</f>
        <v>15</v>
      </c>
      <c r="V166" s="309" t="s">
        <v>287</v>
      </c>
      <c r="W166" s="313">
        <f>IF(V166="Adecuado",15,0)</f>
        <v>15</v>
      </c>
      <c r="X166" s="309" t="s">
        <v>288</v>
      </c>
      <c r="Y166" s="313">
        <f>IF(X166="Oportuna",15,0)</f>
        <v>15</v>
      </c>
      <c r="Z166" s="309" t="s">
        <v>291</v>
      </c>
      <c r="AA166" s="313">
        <f>IF(Z166="Prevenir",15,IF(Z166="Detectar",10,0))</f>
        <v>15</v>
      </c>
      <c r="AB166" s="309" t="s">
        <v>290</v>
      </c>
      <c r="AC166" s="313">
        <f>IF(AB166="Confiable",15,0)</f>
        <v>15</v>
      </c>
      <c r="AD166" s="309" t="s">
        <v>292</v>
      </c>
      <c r="AE166" s="313">
        <f>IF(AD166="Se investigan y resuelven oportunamente",15,0)</f>
        <v>15</v>
      </c>
      <c r="AF166" s="309" t="s">
        <v>289</v>
      </c>
      <c r="AG166" s="313">
        <f>IF(AF166="Completa",10,IF(AF166="incompleta",5,0))</f>
        <v>10</v>
      </c>
      <c r="AH166" s="315">
        <f t="shared" si="427"/>
        <v>100</v>
      </c>
      <c r="AI166" s="315" t="str">
        <f t="shared" si="428"/>
        <v>Fuerte</v>
      </c>
      <c r="AJ166" s="316" t="s">
        <v>293</v>
      </c>
      <c r="AK166" s="315" t="str">
        <f>IF(AJ166="Siempre se ejecuta","Fuerte",IF(AJ166="Algunas veces","Moderado",IF(AJ166="no se ejecuta","Débil","")))</f>
        <v>Fuerte</v>
      </c>
      <c r="AL166" s="315" t="str">
        <f>AI166&amp;AK166</f>
        <v>FuerteFuerte</v>
      </c>
      <c r="AM166" s="315" t="str">
        <f>IFERROR(VLOOKUP(AL166,[17]FORMULAS!$B$69:$D$77,3,FALSE),"")</f>
        <v>Fuerte</v>
      </c>
      <c r="AN166" s="315">
        <f>IF(AM166="fuerte",100,IF(AM166="Moderado",50,IF(AM166="débil",0,"")))</f>
        <v>100</v>
      </c>
      <c r="AO166" s="315" t="str">
        <f>IFERROR(VLOOKUP(AL166,[17]FORMULAS!$B$69:$D$77,2,FALSE),"")</f>
        <v>No</v>
      </c>
      <c r="AP166" s="315">
        <f>IFERROR(AVERAGE(AN166:AN166),0)</f>
        <v>100</v>
      </c>
      <c r="AQ166" s="315" t="str">
        <f>IF(AP166&gt;=100,"Fuerte",IF(AP166&gt;=50,"Moderado",IF(AP166&gt;=1,"Débil","")))</f>
        <v>Fuerte</v>
      </c>
      <c r="AR166" s="316" t="s">
        <v>160</v>
      </c>
      <c r="AS166" s="316" t="s">
        <v>160</v>
      </c>
      <c r="AT166" s="315" t="str">
        <f>+AQ166&amp;AR166&amp;AS166</f>
        <v>FuerteDirectamenteDirectamente</v>
      </c>
      <c r="AU166" s="315">
        <f>IFERROR(VLOOKUP(AT166,[17]FORMULAS!$B$94:$D$101,2,FALSE),0)</f>
        <v>2</v>
      </c>
      <c r="AV166" s="315">
        <f>IFERROR(VLOOKUP(AT166,[17]FORMULAS!$B$94:$D$101,3,FALSE),0)</f>
        <v>2</v>
      </c>
      <c r="AW166" s="309" t="s">
        <v>134</v>
      </c>
      <c r="AX166" s="309" t="s">
        <v>21</v>
      </c>
      <c r="AY166" s="313" t="str">
        <f>AW166&amp;AX166</f>
        <v>Rara vezInsignificante</v>
      </c>
      <c r="AZ166" s="317" t="str">
        <f>IFERROR(VLOOKUP(AY166,[17]FORMULAS!$B$37:$C$61,2,FALSE),"")</f>
        <v>Riesgo bajo</v>
      </c>
      <c r="BA166" s="314" t="s">
        <v>167</v>
      </c>
      <c r="BB166" s="318" t="s">
        <v>1053</v>
      </c>
      <c r="BC166" s="319" t="s">
        <v>1054</v>
      </c>
      <c r="BD166" s="319" t="s">
        <v>1041</v>
      </c>
      <c r="BE166" s="320" t="s">
        <v>1055</v>
      </c>
      <c r="BF166" s="321" t="s">
        <v>1056</v>
      </c>
      <c r="BG166" s="319" t="s">
        <v>1057</v>
      </c>
      <c r="BH166" s="319" t="s">
        <v>1058</v>
      </c>
      <c r="BI166" s="319" t="s">
        <v>1059</v>
      </c>
      <c r="BJ166" s="322" t="s">
        <v>1022</v>
      </c>
    </row>
    <row r="167" spans="2:62" s="86" customFormat="1" ht="48" x14ac:dyDescent="0.25">
      <c r="B167" s="376" t="s">
        <v>87</v>
      </c>
      <c r="C167" s="361">
        <v>46</v>
      </c>
      <c r="D167" s="373" t="s">
        <v>1060</v>
      </c>
      <c r="E167" s="373"/>
      <c r="F167" s="361" t="s">
        <v>89</v>
      </c>
      <c r="G167" s="361"/>
      <c r="H167" s="373" t="s">
        <v>1061</v>
      </c>
      <c r="I167" s="379"/>
      <c r="J167" s="379"/>
      <c r="K167" s="109" t="s">
        <v>1062</v>
      </c>
      <c r="L167" s="199"/>
      <c r="M167" s="364" t="str">
        <f>IF(F167="gestion","impacto",IF(F167="corrupcion","impactocorrupcion",IF(F167="seguridad_de_la_informacion","impacto","")))</f>
        <v>impacto</v>
      </c>
      <c r="N167" s="361"/>
      <c r="O167" s="361"/>
      <c r="P167" s="364" t="str">
        <f>N167&amp;O167</f>
        <v/>
      </c>
      <c r="Q167" s="370" t="str">
        <f>IFERROR(VLOOKUP(P167,FORMULAS!$B$37:$C$61,2,FALSE),"")</f>
        <v/>
      </c>
      <c r="R167" s="373"/>
      <c r="S167" s="373"/>
      <c r="T167" s="112"/>
      <c r="U167" s="113">
        <f>IF(T167="Asignado",15,0)</f>
        <v>0</v>
      </c>
      <c r="V167" s="112"/>
      <c r="W167" s="113">
        <f>IF(V167="Adecuado",15,0)</f>
        <v>0</v>
      </c>
      <c r="X167" s="112"/>
      <c r="Y167" s="113">
        <f>IF(X167="Oportuna",15,0)</f>
        <v>0</v>
      </c>
      <c r="Z167" s="112"/>
      <c r="AA167" s="113">
        <f>IF(Z167="Prevenir",15,IF(Z167="Detectar",10,0))</f>
        <v>0</v>
      </c>
      <c r="AB167" s="112"/>
      <c r="AC167" s="113">
        <f>IF(AB167="Confiable",15,0)</f>
        <v>0</v>
      </c>
      <c r="AD167" s="112"/>
      <c r="AE167" s="113">
        <f>IF(AD167="Se investigan y resuelven oportunamente",15,0)</f>
        <v>0</v>
      </c>
      <c r="AF167" s="112"/>
      <c r="AG167" s="113">
        <f>IF(AF167="Completa",10,IF(AF167="incompleta",5,0))</f>
        <v>0</v>
      </c>
      <c r="AH167" s="116">
        <f t="shared" ref="AH167:AH170" si="449">U167+W167+Y167+AA167+AC167+AE167+AG167</f>
        <v>0</v>
      </c>
      <c r="AI167" s="116" t="str">
        <f>IF(AH167&gt;=96,"Fuerte",IF(AH167&gt;=86,"Moderado",IF(AH167&gt;=1,"Débil","")))</f>
        <v/>
      </c>
      <c r="AJ167" s="117"/>
      <c r="AK167" s="116" t="str">
        <f>IF(AJ167="Siempre se ejecuta","Fuerte",IF(AJ167="Algunas veces","Moderado",IF(AJ167="no se ejecuta","Débil","")))</f>
        <v/>
      </c>
      <c r="AL167" s="116" t="str">
        <f>AI167&amp;AK167</f>
        <v/>
      </c>
      <c r="AM167" s="116" t="str">
        <f>IFERROR(VLOOKUP(AL167,FORMULAS!$B$69:$D$77,3,FALSE),"")</f>
        <v/>
      </c>
      <c r="AN167" s="116" t="str">
        <f>IF(AM167="fuerte",100,IF(AM167="Moderado",50,IF(AM167="débil",0,"")))</f>
        <v/>
      </c>
      <c r="AO167" s="116" t="str">
        <f>IFERROR(VLOOKUP(AL167,FORMULAS!$B$69:$D$77,2,FALSE),"")</f>
        <v/>
      </c>
      <c r="AP167" s="358">
        <f>IFERROR(AVERAGE(AN167:AN170),0)</f>
        <v>0</v>
      </c>
      <c r="AQ167" s="358" t="str">
        <f>IF(AP167&gt;=100,"Fuerte",IF(AP167&gt;=50,"Moderado",IF(AP167&gt;=1,"Débil","")))</f>
        <v/>
      </c>
      <c r="AR167" s="355"/>
      <c r="AS167" s="355"/>
      <c r="AT167" s="358" t="str">
        <f>+AQ167&amp;AR167&amp;AS167</f>
        <v/>
      </c>
      <c r="AU167" s="358">
        <f>IFERROR(VLOOKUP(AT167,FORMULAS!$B$94:$D$101,2,FALSE),0)</f>
        <v>0</v>
      </c>
      <c r="AV167" s="358">
        <f>IFERROR(VLOOKUP(AT167,FORMULAS!$B$94:$D$101,3,FALSE),0)</f>
        <v>0</v>
      </c>
      <c r="AW167" s="361" t="s">
        <v>18</v>
      </c>
      <c r="AX167" s="361" t="s">
        <v>23</v>
      </c>
      <c r="AY167" s="364" t="str">
        <f>AW167&amp;AX167</f>
        <v>PosibleModerado</v>
      </c>
      <c r="AZ167" s="367" t="str">
        <f>IFERROR(VLOOKUP(AY167,FORMULAS!$B$37:$C$61,2,FALSE),"")</f>
        <v>Riesgo alto</v>
      </c>
      <c r="BA167" s="370" t="s">
        <v>166</v>
      </c>
      <c r="BB167" s="153" t="s">
        <v>1065</v>
      </c>
      <c r="BC167" s="119" t="s">
        <v>1066</v>
      </c>
      <c r="BD167" s="111" t="s">
        <v>1067</v>
      </c>
      <c r="BE167" s="160" t="s">
        <v>1068</v>
      </c>
      <c r="BF167" s="349" t="s">
        <v>1069</v>
      </c>
      <c r="BG167" s="333" t="s">
        <v>1070</v>
      </c>
      <c r="BH167" s="333" t="s">
        <v>1071</v>
      </c>
      <c r="BI167" s="349" t="s">
        <v>1072</v>
      </c>
      <c r="BJ167" s="393" t="s">
        <v>1073</v>
      </c>
    </row>
    <row r="168" spans="2:62" s="86" customFormat="1" ht="120" x14ac:dyDescent="0.25">
      <c r="B168" s="377"/>
      <c r="C168" s="362"/>
      <c r="D168" s="374"/>
      <c r="E168" s="374"/>
      <c r="F168" s="362"/>
      <c r="G168" s="362"/>
      <c r="H168" s="374"/>
      <c r="I168" s="380"/>
      <c r="J168" s="380"/>
      <c r="K168" s="121" t="s">
        <v>1063</v>
      </c>
      <c r="L168" s="80"/>
      <c r="M168" s="365"/>
      <c r="N168" s="362"/>
      <c r="O168" s="362"/>
      <c r="P168" s="365"/>
      <c r="Q168" s="371"/>
      <c r="R168" s="374"/>
      <c r="S168" s="374"/>
      <c r="T168" s="102"/>
      <c r="U168" s="106">
        <f t="shared" ref="U168:U170" si="450">IF(T168="Asignado",15,0)</f>
        <v>0</v>
      </c>
      <c r="V168" s="102"/>
      <c r="W168" s="106">
        <f t="shared" ref="W168:W170" si="451">IF(V168="Adecuado",15,0)</f>
        <v>0</v>
      </c>
      <c r="X168" s="102"/>
      <c r="Y168" s="106">
        <f t="shared" ref="Y168:Y170" si="452">IF(X168="Oportuna",15,0)</f>
        <v>0</v>
      </c>
      <c r="Z168" s="102"/>
      <c r="AA168" s="106">
        <f t="shared" ref="AA168:AA170" si="453">IF(Z168="Prevenir",15,IF(Z168="Detectar",10,0))</f>
        <v>0</v>
      </c>
      <c r="AB168" s="102"/>
      <c r="AC168" s="106">
        <f t="shared" ref="AC168:AC170" si="454">IF(AB168="Confiable",15,0)</f>
        <v>0</v>
      </c>
      <c r="AD168" s="102"/>
      <c r="AE168" s="106">
        <f t="shared" ref="AE168:AE170" si="455">IF(AD168="Se investigan y resuelven oportunamente",15,0)</f>
        <v>0</v>
      </c>
      <c r="AF168" s="102"/>
      <c r="AG168" s="106">
        <f t="shared" ref="AG168:AG170" si="456">IF(AF168="Completa",10,IF(AF168="incompleta",5,0))</f>
        <v>0</v>
      </c>
      <c r="AH168" s="105">
        <f t="shared" si="449"/>
        <v>0</v>
      </c>
      <c r="AI168" s="105" t="str">
        <f>IF(AH168&gt;=96,"Fuerte",IF(AH168&gt;=86,"Moderado",IF(AH168&gt;=1,"Débil","")))</f>
        <v/>
      </c>
      <c r="AJ168" s="107"/>
      <c r="AK168" s="105" t="str">
        <f t="shared" ref="AK168:AK170" si="457">IF(AJ168="Siempre se ejecuta","Fuerte",IF(AJ168="Algunas veces","Moderado",IF(AJ168="no se ejecuta","Débil","")))</f>
        <v/>
      </c>
      <c r="AL168" s="105" t="str">
        <f t="shared" ref="AL168:AL170" si="458">AI168&amp;AK168</f>
        <v/>
      </c>
      <c r="AM168" s="105" t="str">
        <f>IFERROR(VLOOKUP(AL168,FORMULAS!$B$69:$D$77,3,FALSE),"")</f>
        <v/>
      </c>
      <c r="AN168" s="105" t="str">
        <f t="shared" ref="AN168:AN170" si="459">IF(AM168="fuerte",100,IF(AM168="Moderado",50,IF(AM168="débil",0,"")))</f>
        <v/>
      </c>
      <c r="AO168" s="105" t="str">
        <f>IFERROR(VLOOKUP(AL168,FORMULAS!$B$69:$C$77,2,FALSE),"")</f>
        <v/>
      </c>
      <c r="AP168" s="359"/>
      <c r="AQ168" s="359"/>
      <c r="AR168" s="356"/>
      <c r="AS168" s="356"/>
      <c r="AT168" s="359"/>
      <c r="AU168" s="359"/>
      <c r="AV168" s="359"/>
      <c r="AW168" s="362"/>
      <c r="AX168" s="362"/>
      <c r="AY168" s="365"/>
      <c r="AZ168" s="368"/>
      <c r="BA168" s="371"/>
      <c r="BB168" s="152" t="s">
        <v>1074</v>
      </c>
      <c r="BC168" s="84" t="s">
        <v>1075</v>
      </c>
      <c r="BD168" s="104" t="s">
        <v>1067</v>
      </c>
      <c r="BE168" s="83" t="s">
        <v>1068</v>
      </c>
      <c r="BF168" s="350"/>
      <c r="BG168" s="334"/>
      <c r="BH168" s="334"/>
      <c r="BI168" s="350"/>
      <c r="BJ168" s="394"/>
    </row>
    <row r="169" spans="2:62" s="86" customFormat="1" ht="108.75" thickBot="1" x14ac:dyDescent="0.3">
      <c r="B169" s="377"/>
      <c r="C169" s="362"/>
      <c r="D169" s="374"/>
      <c r="E169" s="374"/>
      <c r="F169" s="362"/>
      <c r="G169" s="362"/>
      <c r="H169" s="374"/>
      <c r="I169" s="380"/>
      <c r="J169" s="380"/>
      <c r="K169" s="258" t="s">
        <v>1064</v>
      </c>
      <c r="L169" s="80"/>
      <c r="M169" s="365"/>
      <c r="N169" s="362"/>
      <c r="O169" s="362"/>
      <c r="P169" s="365"/>
      <c r="Q169" s="371"/>
      <c r="R169" s="374"/>
      <c r="S169" s="374"/>
      <c r="T169" s="102"/>
      <c r="U169" s="106">
        <f t="shared" si="450"/>
        <v>0</v>
      </c>
      <c r="V169" s="102"/>
      <c r="W169" s="106">
        <f t="shared" si="451"/>
        <v>0</v>
      </c>
      <c r="X169" s="102"/>
      <c r="Y169" s="106">
        <f t="shared" si="452"/>
        <v>0</v>
      </c>
      <c r="Z169" s="102"/>
      <c r="AA169" s="106">
        <f t="shared" si="453"/>
        <v>0</v>
      </c>
      <c r="AB169" s="102"/>
      <c r="AC169" s="106">
        <f t="shared" si="454"/>
        <v>0</v>
      </c>
      <c r="AD169" s="102"/>
      <c r="AE169" s="106">
        <f t="shared" si="455"/>
        <v>0</v>
      </c>
      <c r="AF169" s="102"/>
      <c r="AG169" s="106">
        <f t="shared" si="456"/>
        <v>0</v>
      </c>
      <c r="AH169" s="105">
        <f t="shared" si="449"/>
        <v>0</v>
      </c>
      <c r="AI169" s="105" t="str">
        <f t="shared" ref="AI169:AI170" si="460">IF(AH169&gt;=96,"Fuerte",IF(AH169&gt;=86,"Moderado",IF(AH169&gt;=1,"Débil","")))</f>
        <v/>
      </c>
      <c r="AJ169" s="107"/>
      <c r="AK169" s="105" t="str">
        <f t="shared" si="457"/>
        <v/>
      </c>
      <c r="AL169" s="105" t="str">
        <f t="shared" si="458"/>
        <v/>
      </c>
      <c r="AM169" s="105" t="str">
        <f>IFERROR(VLOOKUP(AL169,FORMULAS!$B$69:$D$77,3,FALSE),"")</f>
        <v/>
      </c>
      <c r="AN169" s="105" t="str">
        <f t="shared" si="459"/>
        <v/>
      </c>
      <c r="AO169" s="105" t="str">
        <f>IFERROR(VLOOKUP(AL169,FORMULAS!$B$69:$C$77,2,FALSE),"")</f>
        <v/>
      </c>
      <c r="AP169" s="359"/>
      <c r="AQ169" s="359"/>
      <c r="AR169" s="356"/>
      <c r="AS169" s="356"/>
      <c r="AT169" s="359"/>
      <c r="AU169" s="359"/>
      <c r="AV169" s="359"/>
      <c r="AW169" s="362"/>
      <c r="AX169" s="362"/>
      <c r="AY169" s="365"/>
      <c r="AZ169" s="368"/>
      <c r="BA169" s="371"/>
      <c r="BB169" s="259" t="s">
        <v>1076</v>
      </c>
      <c r="BC169" s="259" t="s">
        <v>1077</v>
      </c>
      <c r="BD169" s="260" t="s">
        <v>1072</v>
      </c>
      <c r="BE169" s="261" t="s">
        <v>1068</v>
      </c>
      <c r="BF169" s="398"/>
      <c r="BG169" s="392"/>
      <c r="BH169" s="392"/>
      <c r="BI169" s="398"/>
      <c r="BJ169" s="395"/>
    </row>
    <row r="170" spans="2:62" s="86" customFormat="1" ht="13.5" thickTop="1" thickBot="1" x14ac:dyDescent="0.3">
      <c r="B170" s="378"/>
      <c r="C170" s="363"/>
      <c r="D170" s="375"/>
      <c r="E170" s="375"/>
      <c r="F170" s="363"/>
      <c r="G170" s="363"/>
      <c r="H170" s="375"/>
      <c r="I170" s="381"/>
      <c r="J170" s="381"/>
      <c r="K170" s="124"/>
      <c r="L170" s="124"/>
      <c r="M170" s="366"/>
      <c r="N170" s="363"/>
      <c r="O170" s="363"/>
      <c r="P170" s="366"/>
      <c r="Q170" s="372"/>
      <c r="R170" s="375"/>
      <c r="S170" s="375"/>
      <c r="T170" s="125"/>
      <c r="U170" s="126">
        <f t="shared" si="450"/>
        <v>0</v>
      </c>
      <c r="V170" s="125"/>
      <c r="W170" s="126">
        <f t="shared" si="451"/>
        <v>0</v>
      </c>
      <c r="X170" s="125"/>
      <c r="Y170" s="126">
        <f t="shared" si="452"/>
        <v>0</v>
      </c>
      <c r="Z170" s="125"/>
      <c r="AA170" s="126">
        <f t="shared" si="453"/>
        <v>0</v>
      </c>
      <c r="AB170" s="125"/>
      <c r="AC170" s="126">
        <f t="shared" si="454"/>
        <v>0</v>
      </c>
      <c r="AD170" s="125"/>
      <c r="AE170" s="126">
        <f t="shared" si="455"/>
        <v>0</v>
      </c>
      <c r="AF170" s="125"/>
      <c r="AG170" s="126">
        <f t="shared" si="456"/>
        <v>0</v>
      </c>
      <c r="AH170" s="129">
        <f t="shared" si="449"/>
        <v>0</v>
      </c>
      <c r="AI170" s="129" t="str">
        <f t="shared" si="460"/>
        <v/>
      </c>
      <c r="AJ170" s="130"/>
      <c r="AK170" s="129" t="str">
        <f t="shared" si="457"/>
        <v/>
      </c>
      <c r="AL170" s="129" t="str">
        <f t="shared" si="458"/>
        <v/>
      </c>
      <c r="AM170" s="129" t="str">
        <f>IFERROR(VLOOKUP(AL170,FORMULAS!$B$69:$D$77,3,FALSE),"")</f>
        <v/>
      </c>
      <c r="AN170" s="129" t="str">
        <f t="shared" si="459"/>
        <v/>
      </c>
      <c r="AO170" s="129" t="str">
        <f>IFERROR(VLOOKUP(AL170,FORMULAS!$B$69:$C$77,2,FALSE),"")</f>
        <v/>
      </c>
      <c r="AP170" s="360"/>
      <c r="AQ170" s="360"/>
      <c r="AR170" s="357"/>
      <c r="AS170" s="357"/>
      <c r="AT170" s="360"/>
      <c r="AU170" s="360"/>
      <c r="AV170" s="360"/>
      <c r="AW170" s="363"/>
      <c r="AX170" s="363"/>
      <c r="AY170" s="366"/>
      <c r="AZ170" s="369"/>
      <c r="BA170" s="372"/>
      <c r="BB170" s="131"/>
      <c r="BC170" s="132"/>
      <c r="BD170" s="132"/>
      <c r="BE170" s="161"/>
      <c r="BF170" s="201"/>
      <c r="BG170" s="139"/>
      <c r="BH170" s="132"/>
      <c r="BI170" s="132"/>
      <c r="BJ170" s="156"/>
    </row>
    <row r="171" spans="2:62" s="86" customFormat="1" ht="60" x14ac:dyDescent="0.25">
      <c r="B171" s="376" t="s">
        <v>87</v>
      </c>
      <c r="C171" s="361">
        <v>47</v>
      </c>
      <c r="D171" s="373" t="s">
        <v>1078</v>
      </c>
      <c r="E171" s="373"/>
      <c r="F171" s="361" t="s">
        <v>89</v>
      </c>
      <c r="G171" s="361"/>
      <c r="H171" s="373" t="s">
        <v>1061</v>
      </c>
      <c r="I171" s="379"/>
      <c r="J171" s="379"/>
      <c r="K171" s="291" t="s">
        <v>1079</v>
      </c>
      <c r="L171" s="199"/>
      <c r="M171" s="364" t="str">
        <f>IF(F171="gestion","impacto",IF(F171="corrupcion","impactocorrupcion",IF(F171="seguridad_de_la_informacion","impacto","")))</f>
        <v>impacto</v>
      </c>
      <c r="N171" s="361"/>
      <c r="O171" s="361"/>
      <c r="P171" s="364" t="str">
        <f>N171&amp;O171</f>
        <v/>
      </c>
      <c r="Q171" s="370" t="str">
        <f>IFERROR(VLOOKUP(P171,FORMULAS!$B$37:$C$61,2,FALSE),"")</f>
        <v/>
      </c>
      <c r="R171" s="373"/>
      <c r="S171" s="373"/>
      <c r="T171" s="112"/>
      <c r="U171" s="113">
        <f>IF(T171="Asignado",15,0)</f>
        <v>0</v>
      </c>
      <c r="V171" s="112"/>
      <c r="W171" s="113">
        <f>IF(V171="Adecuado",15,0)</f>
        <v>0</v>
      </c>
      <c r="X171" s="112"/>
      <c r="Y171" s="113">
        <f>IF(X171="Oportuna",15,0)</f>
        <v>0</v>
      </c>
      <c r="Z171" s="112"/>
      <c r="AA171" s="113">
        <f>IF(Z171="Prevenir",15,IF(Z171="Detectar",10,0))</f>
        <v>0</v>
      </c>
      <c r="AB171" s="112"/>
      <c r="AC171" s="113">
        <f>IF(AB171="Confiable",15,0)</f>
        <v>0</v>
      </c>
      <c r="AD171" s="112"/>
      <c r="AE171" s="113">
        <f>IF(AD171="Se investigan y resuelven oportunamente",15,0)</f>
        <v>0</v>
      </c>
      <c r="AF171" s="112"/>
      <c r="AG171" s="113">
        <f>IF(AF171="Completa",10,IF(AF171="incompleta",5,0))</f>
        <v>0</v>
      </c>
      <c r="AH171" s="116">
        <f t="shared" ref="AH171:AH186" si="461">U171+W171+Y171+AA171+AC171+AE171+AG171</f>
        <v>0</v>
      </c>
      <c r="AI171" s="116" t="str">
        <f>IF(AH171&gt;=96,"Fuerte",IF(AH171&gt;=86,"Moderado",IF(AH171&gt;=1,"Débil","")))</f>
        <v/>
      </c>
      <c r="AJ171" s="117"/>
      <c r="AK171" s="116" t="str">
        <f>IF(AJ171="Siempre se ejecuta","Fuerte",IF(AJ171="Algunas veces","Moderado",IF(AJ171="no se ejecuta","Débil","")))</f>
        <v/>
      </c>
      <c r="AL171" s="116" t="str">
        <f>AI171&amp;AK171</f>
        <v/>
      </c>
      <c r="AM171" s="116" t="str">
        <f>IFERROR(VLOOKUP(AL171,FORMULAS!$B$69:$D$77,3,FALSE),"")</f>
        <v/>
      </c>
      <c r="AN171" s="116" t="str">
        <f>IF(AM171="fuerte",100,IF(AM171="Moderado",50,IF(AM171="débil",0,"")))</f>
        <v/>
      </c>
      <c r="AO171" s="116" t="str">
        <f>IFERROR(VLOOKUP(AL171,FORMULAS!$B$69:$D$77,2,FALSE),"")</f>
        <v/>
      </c>
      <c r="AP171" s="358">
        <f>IFERROR(AVERAGE(AN171:AN174),0)</f>
        <v>0</v>
      </c>
      <c r="AQ171" s="358" t="str">
        <f>IF(AP171&gt;=100,"Fuerte",IF(AP171&gt;=50,"Moderado",IF(AP171&gt;=1,"Débil","")))</f>
        <v/>
      </c>
      <c r="AR171" s="355"/>
      <c r="AS171" s="355"/>
      <c r="AT171" s="358" t="str">
        <f>+AQ171&amp;AR171&amp;AS171</f>
        <v/>
      </c>
      <c r="AU171" s="358">
        <f>IFERROR(VLOOKUP(AT171,FORMULAS!$B$94:$D$101,2,FALSE),0)</f>
        <v>0</v>
      </c>
      <c r="AV171" s="358">
        <f>IFERROR(VLOOKUP(AT171,FORMULAS!$B$94:$D$101,3,FALSE),0)</f>
        <v>0</v>
      </c>
      <c r="AW171" s="361" t="s">
        <v>17</v>
      </c>
      <c r="AX171" s="361" t="s">
        <v>23</v>
      </c>
      <c r="AY171" s="364" t="str">
        <f>AW171&amp;AX171</f>
        <v>ImprobableModerado</v>
      </c>
      <c r="AZ171" s="367" t="str">
        <f>IFERROR(VLOOKUP(AY171,FORMULAS!$B$37:$C$61,2,FALSE),"")</f>
        <v>Riesgo moderado</v>
      </c>
      <c r="BA171" s="370" t="s">
        <v>166</v>
      </c>
      <c r="BB171" s="153" t="s">
        <v>1081</v>
      </c>
      <c r="BC171" s="119" t="s">
        <v>1083</v>
      </c>
      <c r="BD171" s="111" t="s">
        <v>1072</v>
      </c>
      <c r="BE171" s="160" t="s">
        <v>364</v>
      </c>
      <c r="BF171" s="292" t="s">
        <v>1084</v>
      </c>
      <c r="BG171" s="333" t="s">
        <v>1085</v>
      </c>
      <c r="BH171" s="333" t="s">
        <v>1086</v>
      </c>
      <c r="BI171" s="333" t="s">
        <v>1072</v>
      </c>
      <c r="BJ171" s="393" t="s">
        <v>1087</v>
      </c>
    </row>
    <row r="172" spans="2:62" s="86" customFormat="1" ht="60" x14ac:dyDescent="0.25">
      <c r="B172" s="377"/>
      <c r="C172" s="362"/>
      <c r="D172" s="374"/>
      <c r="E172" s="374"/>
      <c r="F172" s="362"/>
      <c r="G172" s="362"/>
      <c r="H172" s="374"/>
      <c r="I172" s="380"/>
      <c r="J172" s="380"/>
      <c r="K172" s="262" t="s">
        <v>1080</v>
      </c>
      <c r="L172" s="80"/>
      <c r="M172" s="365"/>
      <c r="N172" s="362"/>
      <c r="O172" s="362"/>
      <c r="P172" s="365"/>
      <c r="Q172" s="371"/>
      <c r="R172" s="374"/>
      <c r="S172" s="374"/>
      <c r="T172" s="102"/>
      <c r="U172" s="106">
        <f t="shared" ref="U172:U174" si="462">IF(T172="Asignado",15,0)</f>
        <v>0</v>
      </c>
      <c r="V172" s="102"/>
      <c r="W172" s="106">
        <f t="shared" ref="W172:W174" si="463">IF(V172="Adecuado",15,0)</f>
        <v>0</v>
      </c>
      <c r="X172" s="102"/>
      <c r="Y172" s="106">
        <f t="shared" ref="Y172:Y174" si="464">IF(X172="Oportuna",15,0)</f>
        <v>0</v>
      </c>
      <c r="Z172" s="102"/>
      <c r="AA172" s="106">
        <f t="shared" ref="AA172:AA174" si="465">IF(Z172="Prevenir",15,IF(Z172="Detectar",10,0))</f>
        <v>0</v>
      </c>
      <c r="AB172" s="102"/>
      <c r="AC172" s="106">
        <f t="shared" ref="AC172:AC174" si="466">IF(AB172="Confiable",15,0)</f>
        <v>0</v>
      </c>
      <c r="AD172" s="102"/>
      <c r="AE172" s="106">
        <f t="shared" ref="AE172:AE174" si="467">IF(AD172="Se investigan y resuelven oportunamente",15,0)</f>
        <v>0</v>
      </c>
      <c r="AF172" s="102"/>
      <c r="AG172" s="106">
        <f t="shared" ref="AG172:AG174" si="468">IF(AF172="Completa",10,IF(AF172="incompleta",5,0))</f>
        <v>0</v>
      </c>
      <c r="AH172" s="105">
        <f t="shared" si="461"/>
        <v>0</v>
      </c>
      <c r="AI172" s="105" t="str">
        <f>IF(AH172&gt;=96,"Fuerte",IF(AH172&gt;=86,"Moderado",IF(AH172&gt;=1,"Débil","")))</f>
        <v/>
      </c>
      <c r="AJ172" s="107"/>
      <c r="AK172" s="105" t="str">
        <f t="shared" ref="AK172:AK174" si="469">IF(AJ172="Siempre se ejecuta","Fuerte",IF(AJ172="Algunas veces","Moderado",IF(AJ172="no se ejecuta","Débil","")))</f>
        <v/>
      </c>
      <c r="AL172" s="105" t="str">
        <f t="shared" ref="AL172:AL174" si="470">AI172&amp;AK172</f>
        <v/>
      </c>
      <c r="AM172" s="105" t="str">
        <f>IFERROR(VLOOKUP(AL172,FORMULAS!$B$69:$D$77,3,FALSE),"")</f>
        <v/>
      </c>
      <c r="AN172" s="105" t="str">
        <f t="shared" ref="AN172:AN174" si="471">IF(AM172="fuerte",100,IF(AM172="Moderado",50,IF(AM172="débil",0,"")))</f>
        <v/>
      </c>
      <c r="AO172" s="105" t="str">
        <f>IFERROR(VLOOKUP(AL172,FORMULAS!$B$69:$C$77,2,FALSE),"")</f>
        <v/>
      </c>
      <c r="AP172" s="359"/>
      <c r="AQ172" s="359"/>
      <c r="AR172" s="356"/>
      <c r="AS172" s="356"/>
      <c r="AT172" s="359"/>
      <c r="AU172" s="359"/>
      <c r="AV172" s="359"/>
      <c r="AW172" s="362"/>
      <c r="AX172" s="362"/>
      <c r="AY172" s="365"/>
      <c r="AZ172" s="368"/>
      <c r="BA172" s="371"/>
      <c r="BB172" s="87" t="s">
        <v>1082</v>
      </c>
      <c r="BC172" s="88" t="s">
        <v>1088</v>
      </c>
      <c r="BD172" s="108" t="s">
        <v>1072</v>
      </c>
      <c r="BE172" s="97" t="s">
        <v>364</v>
      </c>
      <c r="BF172" s="89" t="s">
        <v>1089</v>
      </c>
      <c r="BG172" s="334"/>
      <c r="BH172" s="334"/>
      <c r="BI172" s="334"/>
      <c r="BJ172" s="394"/>
    </row>
    <row r="173" spans="2:62" s="86" customFormat="1" ht="12.75" thickBot="1" x14ac:dyDescent="0.3">
      <c r="B173" s="377"/>
      <c r="C173" s="362"/>
      <c r="D173" s="374"/>
      <c r="E173" s="374"/>
      <c r="F173" s="362"/>
      <c r="G173" s="362"/>
      <c r="H173" s="374"/>
      <c r="I173" s="380"/>
      <c r="J173" s="380"/>
      <c r="K173" s="80"/>
      <c r="L173" s="80"/>
      <c r="M173" s="365"/>
      <c r="N173" s="362"/>
      <c r="O173" s="362"/>
      <c r="P173" s="365"/>
      <c r="Q173" s="371"/>
      <c r="R173" s="374"/>
      <c r="S173" s="374"/>
      <c r="T173" s="102"/>
      <c r="U173" s="106">
        <f t="shared" si="462"/>
        <v>0</v>
      </c>
      <c r="V173" s="102"/>
      <c r="W173" s="106">
        <f t="shared" si="463"/>
        <v>0</v>
      </c>
      <c r="X173" s="102"/>
      <c r="Y173" s="106">
        <f t="shared" si="464"/>
        <v>0</v>
      </c>
      <c r="Z173" s="102"/>
      <c r="AA173" s="106">
        <f t="shared" si="465"/>
        <v>0</v>
      </c>
      <c r="AB173" s="102"/>
      <c r="AC173" s="106">
        <f t="shared" si="466"/>
        <v>0</v>
      </c>
      <c r="AD173" s="102"/>
      <c r="AE173" s="106">
        <f t="shared" si="467"/>
        <v>0</v>
      </c>
      <c r="AF173" s="102"/>
      <c r="AG173" s="106">
        <f t="shared" si="468"/>
        <v>0</v>
      </c>
      <c r="AH173" s="105">
        <f t="shared" si="461"/>
        <v>0</v>
      </c>
      <c r="AI173" s="105" t="str">
        <f t="shared" ref="AI173:AI174" si="472">IF(AH173&gt;=96,"Fuerte",IF(AH173&gt;=86,"Moderado",IF(AH173&gt;=1,"Débil","")))</f>
        <v/>
      </c>
      <c r="AJ173" s="107"/>
      <c r="AK173" s="105" t="str">
        <f t="shared" si="469"/>
        <v/>
      </c>
      <c r="AL173" s="105" t="str">
        <f t="shared" si="470"/>
        <v/>
      </c>
      <c r="AM173" s="105" t="str">
        <f>IFERROR(VLOOKUP(AL173,FORMULAS!$B$69:$D$77,3,FALSE),"")</f>
        <v/>
      </c>
      <c r="AN173" s="105" t="str">
        <f t="shared" si="471"/>
        <v/>
      </c>
      <c r="AO173" s="105" t="str">
        <f>IFERROR(VLOOKUP(AL173,FORMULAS!$B$69:$C$77,2,FALSE),"")</f>
        <v/>
      </c>
      <c r="AP173" s="359"/>
      <c r="AQ173" s="359"/>
      <c r="AR173" s="356"/>
      <c r="AS173" s="356"/>
      <c r="AT173" s="359"/>
      <c r="AU173" s="359"/>
      <c r="AV173" s="359"/>
      <c r="AW173" s="362"/>
      <c r="AX173" s="362"/>
      <c r="AY173" s="365"/>
      <c r="AZ173" s="368"/>
      <c r="BA173" s="371"/>
      <c r="BB173" s="263"/>
      <c r="BC173" s="263"/>
      <c r="BD173" s="263"/>
      <c r="BE173" s="263"/>
      <c r="BF173" s="263"/>
      <c r="BG173" s="392"/>
      <c r="BH173" s="392"/>
      <c r="BI173" s="392"/>
      <c r="BJ173" s="395"/>
    </row>
    <row r="174" spans="2:62" s="86" customFormat="1" ht="13.5" thickTop="1" thickBot="1" x14ac:dyDescent="0.3">
      <c r="B174" s="378"/>
      <c r="C174" s="363"/>
      <c r="D174" s="375"/>
      <c r="E174" s="375"/>
      <c r="F174" s="363"/>
      <c r="G174" s="363"/>
      <c r="H174" s="375"/>
      <c r="I174" s="381"/>
      <c r="J174" s="381"/>
      <c r="K174" s="124"/>
      <c r="L174" s="124"/>
      <c r="M174" s="366"/>
      <c r="N174" s="363"/>
      <c r="O174" s="363"/>
      <c r="P174" s="366"/>
      <c r="Q174" s="372"/>
      <c r="R174" s="375"/>
      <c r="S174" s="375"/>
      <c r="T174" s="125"/>
      <c r="U174" s="126">
        <f t="shared" si="462"/>
        <v>0</v>
      </c>
      <c r="V174" s="125"/>
      <c r="W174" s="126">
        <f t="shared" si="463"/>
        <v>0</v>
      </c>
      <c r="X174" s="125"/>
      <c r="Y174" s="126">
        <f t="shared" si="464"/>
        <v>0</v>
      </c>
      <c r="Z174" s="125"/>
      <c r="AA174" s="126">
        <f t="shared" si="465"/>
        <v>0</v>
      </c>
      <c r="AB174" s="125"/>
      <c r="AC174" s="126">
        <f t="shared" si="466"/>
        <v>0</v>
      </c>
      <c r="AD174" s="125"/>
      <c r="AE174" s="126">
        <f t="shared" si="467"/>
        <v>0</v>
      </c>
      <c r="AF174" s="125"/>
      <c r="AG174" s="126">
        <f t="shared" si="468"/>
        <v>0</v>
      </c>
      <c r="AH174" s="129">
        <f t="shared" si="461"/>
        <v>0</v>
      </c>
      <c r="AI174" s="129" t="str">
        <f t="shared" si="472"/>
        <v/>
      </c>
      <c r="AJ174" s="130"/>
      <c r="AK174" s="129" t="str">
        <f t="shared" si="469"/>
        <v/>
      </c>
      <c r="AL174" s="129" t="str">
        <f t="shared" si="470"/>
        <v/>
      </c>
      <c r="AM174" s="129" t="str">
        <f>IFERROR(VLOOKUP(AL174,FORMULAS!$B$69:$D$77,3,FALSE),"")</f>
        <v/>
      </c>
      <c r="AN174" s="129" t="str">
        <f t="shared" si="471"/>
        <v/>
      </c>
      <c r="AO174" s="129" t="str">
        <f>IFERROR(VLOOKUP(AL174,FORMULAS!$B$69:$C$77,2,FALSE),"")</f>
        <v/>
      </c>
      <c r="AP174" s="360"/>
      <c r="AQ174" s="360"/>
      <c r="AR174" s="357"/>
      <c r="AS174" s="357"/>
      <c r="AT174" s="360"/>
      <c r="AU174" s="360"/>
      <c r="AV174" s="360"/>
      <c r="AW174" s="363"/>
      <c r="AX174" s="363"/>
      <c r="AY174" s="366"/>
      <c r="AZ174" s="369"/>
      <c r="BA174" s="372"/>
      <c r="BB174" s="131"/>
      <c r="BC174" s="132"/>
      <c r="BD174" s="132"/>
      <c r="BE174" s="161"/>
      <c r="BF174" s="201"/>
      <c r="BG174" s="139"/>
      <c r="BH174" s="132"/>
      <c r="BI174" s="132"/>
      <c r="BJ174" s="156"/>
    </row>
    <row r="175" spans="2:62" s="86" customFormat="1" ht="72.75" thickBot="1" x14ac:dyDescent="0.3">
      <c r="B175" s="376" t="s">
        <v>87</v>
      </c>
      <c r="C175" s="361">
        <v>48</v>
      </c>
      <c r="D175" s="373" t="s">
        <v>1090</v>
      </c>
      <c r="E175" s="373"/>
      <c r="F175" s="361" t="s">
        <v>91</v>
      </c>
      <c r="G175" s="361"/>
      <c r="H175" s="373" t="s">
        <v>1091</v>
      </c>
      <c r="I175" s="379" t="s">
        <v>130</v>
      </c>
      <c r="J175" s="379" t="s">
        <v>120</v>
      </c>
      <c r="K175" s="109" t="s">
        <v>1092</v>
      </c>
      <c r="L175" s="199"/>
      <c r="M175" s="364" t="str">
        <f>IF(F175="gestion","impacto",IF(F175="corrupcion","impactocorrupcion",IF(F175="seguridad_de_la_informacion","impacto","")))</f>
        <v>impacto</v>
      </c>
      <c r="N175" s="361"/>
      <c r="O175" s="361"/>
      <c r="P175" s="364" t="str">
        <f>N175&amp;O175</f>
        <v/>
      </c>
      <c r="Q175" s="370" t="str">
        <f>IFERROR(VLOOKUP(P175,FORMULAS!$B$37:$C$61,2,FALSE),"")</f>
        <v/>
      </c>
      <c r="R175" s="373"/>
      <c r="S175" s="373"/>
      <c r="T175" s="112"/>
      <c r="U175" s="113">
        <f>IF(T175="Asignado",15,0)</f>
        <v>0</v>
      </c>
      <c r="V175" s="112"/>
      <c r="W175" s="113">
        <f>IF(V175="Adecuado",15,0)</f>
        <v>0</v>
      </c>
      <c r="X175" s="112"/>
      <c r="Y175" s="113">
        <f>IF(X175="Oportuna",15,0)</f>
        <v>0</v>
      </c>
      <c r="Z175" s="112"/>
      <c r="AA175" s="113">
        <f>IF(Z175="Prevenir",15,IF(Z175="Detectar",10,0))</f>
        <v>0</v>
      </c>
      <c r="AB175" s="112"/>
      <c r="AC175" s="113">
        <f>IF(AB175="Confiable",15,0)</f>
        <v>0</v>
      </c>
      <c r="AD175" s="112"/>
      <c r="AE175" s="113">
        <f>IF(AD175="Se investigan y resuelven oportunamente",15,0)</f>
        <v>0</v>
      </c>
      <c r="AF175" s="112"/>
      <c r="AG175" s="113">
        <f>IF(AF175="Completa",10,IF(AF175="incompleta",5,0))</f>
        <v>0</v>
      </c>
      <c r="AH175" s="116">
        <f t="shared" si="461"/>
        <v>0</v>
      </c>
      <c r="AI175" s="116" t="str">
        <f>IF(AH175&gt;=96,"Fuerte",IF(AH175&gt;=86,"Moderado",IF(AH175&gt;=1,"Débil","")))</f>
        <v/>
      </c>
      <c r="AJ175" s="117"/>
      <c r="AK175" s="116" t="str">
        <f>IF(AJ175="Siempre se ejecuta","Fuerte",IF(AJ175="Algunas veces","Moderado",IF(AJ175="no se ejecuta","Débil","")))</f>
        <v/>
      </c>
      <c r="AL175" s="116" t="str">
        <f>AI175&amp;AK175</f>
        <v/>
      </c>
      <c r="AM175" s="116" t="str">
        <f>IFERROR(VLOOKUP(AL175,FORMULAS!$B$69:$D$77,3,FALSE),"")</f>
        <v/>
      </c>
      <c r="AN175" s="116" t="str">
        <f>IF(AM175="fuerte",100,IF(AM175="Moderado",50,IF(AM175="débil",0,"")))</f>
        <v/>
      </c>
      <c r="AO175" s="116" t="str">
        <f>IFERROR(VLOOKUP(AL175,FORMULAS!$B$69:$D$77,2,FALSE),"")</f>
        <v/>
      </c>
      <c r="AP175" s="358">
        <f>IFERROR(AVERAGE(AN175:AN178),0)</f>
        <v>0</v>
      </c>
      <c r="AQ175" s="358" t="str">
        <f>IF(AP175&gt;=100,"Fuerte",IF(AP175&gt;=50,"Moderado",IF(AP175&gt;=1,"Débil","")))</f>
        <v/>
      </c>
      <c r="AR175" s="355"/>
      <c r="AS175" s="355"/>
      <c r="AT175" s="358" t="str">
        <f>+AQ175&amp;AR175&amp;AS175</f>
        <v/>
      </c>
      <c r="AU175" s="358">
        <f>IFERROR(VLOOKUP(AT175,FORMULAS!$B$94:$D$101,2,FALSE),0)</f>
        <v>0</v>
      </c>
      <c r="AV175" s="358">
        <f>IFERROR(VLOOKUP(AT175,FORMULAS!$B$94:$D$101,3,FALSE),0)</f>
        <v>0</v>
      </c>
      <c r="AW175" s="361" t="s">
        <v>18</v>
      </c>
      <c r="AX175" s="361" t="s">
        <v>23</v>
      </c>
      <c r="AY175" s="364" t="str">
        <f>AW175&amp;AX175</f>
        <v>PosibleModerado</v>
      </c>
      <c r="AZ175" s="367" t="str">
        <f>IFERROR(VLOOKUP(AY175,FORMULAS!$B$37:$C$61,2,FALSE),"")</f>
        <v>Riesgo alto</v>
      </c>
      <c r="BA175" s="370" t="s">
        <v>168</v>
      </c>
      <c r="BB175" s="323" t="s">
        <v>1094</v>
      </c>
      <c r="BC175" s="119" t="s">
        <v>1088</v>
      </c>
      <c r="BD175" s="200" t="s">
        <v>1072</v>
      </c>
      <c r="BE175" s="160" t="s">
        <v>1068</v>
      </c>
      <c r="BF175" s="292" t="s">
        <v>1069</v>
      </c>
      <c r="BG175" s="333" t="s">
        <v>1095</v>
      </c>
      <c r="BH175" s="333" t="s">
        <v>1096</v>
      </c>
      <c r="BI175" s="333" t="s">
        <v>1072</v>
      </c>
      <c r="BJ175" s="393" t="s">
        <v>1073</v>
      </c>
    </row>
    <row r="176" spans="2:62" s="86" customFormat="1" ht="203.25" thickTop="1" x14ac:dyDescent="0.25">
      <c r="B176" s="377"/>
      <c r="C176" s="362"/>
      <c r="D176" s="374"/>
      <c r="E176" s="374"/>
      <c r="F176" s="362"/>
      <c r="G176" s="362"/>
      <c r="H176" s="374"/>
      <c r="I176" s="380"/>
      <c r="J176" s="380"/>
      <c r="K176" s="121" t="s">
        <v>1093</v>
      </c>
      <c r="L176" s="80"/>
      <c r="M176" s="365"/>
      <c r="N176" s="362"/>
      <c r="O176" s="362"/>
      <c r="P176" s="365"/>
      <c r="Q176" s="371"/>
      <c r="R176" s="374"/>
      <c r="S176" s="374"/>
      <c r="T176" s="102"/>
      <c r="U176" s="106">
        <f t="shared" ref="U176:U178" si="473">IF(T176="Asignado",15,0)</f>
        <v>0</v>
      </c>
      <c r="V176" s="102"/>
      <c r="W176" s="106">
        <f t="shared" ref="W176:W178" si="474">IF(V176="Adecuado",15,0)</f>
        <v>0</v>
      </c>
      <c r="X176" s="102"/>
      <c r="Y176" s="106">
        <f t="shared" ref="Y176:Y178" si="475">IF(X176="Oportuna",15,0)</f>
        <v>0</v>
      </c>
      <c r="Z176" s="102"/>
      <c r="AA176" s="106">
        <f t="shared" ref="AA176:AA178" si="476">IF(Z176="Prevenir",15,IF(Z176="Detectar",10,0))</f>
        <v>0</v>
      </c>
      <c r="AB176" s="102"/>
      <c r="AC176" s="106">
        <f t="shared" ref="AC176:AC178" si="477">IF(AB176="Confiable",15,0)</f>
        <v>0</v>
      </c>
      <c r="AD176" s="102"/>
      <c r="AE176" s="106">
        <f t="shared" ref="AE176:AE178" si="478">IF(AD176="Se investigan y resuelven oportunamente",15,0)</f>
        <v>0</v>
      </c>
      <c r="AF176" s="102"/>
      <c r="AG176" s="106">
        <f t="shared" ref="AG176:AG178" si="479">IF(AF176="Completa",10,IF(AF176="incompleta",5,0))</f>
        <v>0</v>
      </c>
      <c r="AH176" s="105">
        <f t="shared" si="461"/>
        <v>0</v>
      </c>
      <c r="AI176" s="105" t="str">
        <f>IF(AH176&gt;=96,"Fuerte",IF(AH176&gt;=86,"Moderado",IF(AH176&gt;=1,"Débil","")))</f>
        <v/>
      </c>
      <c r="AJ176" s="107"/>
      <c r="AK176" s="105" t="str">
        <f t="shared" ref="AK176:AK178" si="480">IF(AJ176="Siempre se ejecuta","Fuerte",IF(AJ176="Algunas veces","Moderado",IF(AJ176="no se ejecuta","Débil","")))</f>
        <v/>
      </c>
      <c r="AL176" s="105" t="str">
        <f t="shared" ref="AL176:AL178" si="481">AI176&amp;AK176</f>
        <v/>
      </c>
      <c r="AM176" s="105" t="str">
        <f>IFERROR(VLOOKUP(AL176,FORMULAS!$B$69:$D$77,3,FALSE),"")</f>
        <v/>
      </c>
      <c r="AN176" s="105" t="str">
        <f t="shared" ref="AN176:AN178" si="482">IF(AM176="fuerte",100,IF(AM176="Moderado",50,IF(AM176="débil",0,"")))</f>
        <v/>
      </c>
      <c r="AO176" s="105" t="str">
        <f>IFERROR(VLOOKUP(AL176,FORMULAS!$B$69:$C$77,2,FALSE),"")</f>
        <v/>
      </c>
      <c r="AP176" s="359"/>
      <c r="AQ176" s="359"/>
      <c r="AR176" s="356"/>
      <c r="AS176" s="356"/>
      <c r="AT176" s="359"/>
      <c r="AU176" s="359"/>
      <c r="AV176" s="359"/>
      <c r="AW176" s="362"/>
      <c r="AX176" s="362"/>
      <c r="AY176" s="365"/>
      <c r="AZ176" s="368"/>
      <c r="BA176" s="371"/>
      <c r="BB176" s="265" t="s">
        <v>1097</v>
      </c>
      <c r="BC176" s="88" t="s">
        <v>1098</v>
      </c>
      <c r="BD176" s="82" t="s">
        <v>1072</v>
      </c>
      <c r="BE176" s="83" t="s">
        <v>1068</v>
      </c>
      <c r="BF176" s="85" t="s">
        <v>1099</v>
      </c>
      <c r="BG176" s="334"/>
      <c r="BH176" s="334"/>
      <c r="BI176" s="334"/>
      <c r="BJ176" s="394"/>
    </row>
    <row r="177" spans="2:62" s="86" customFormat="1" ht="12.75" thickBot="1" x14ac:dyDescent="0.3">
      <c r="B177" s="377"/>
      <c r="C177" s="362"/>
      <c r="D177" s="374"/>
      <c r="E177" s="374"/>
      <c r="F177" s="362"/>
      <c r="G177" s="362"/>
      <c r="H177" s="374"/>
      <c r="I177" s="380"/>
      <c r="J177" s="380"/>
      <c r="K177" s="264"/>
      <c r="L177" s="80"/>
      <c r="M177" s="365"/>
      <c r="N177" s="362"/>
      <c r="O177" s="362"/>
      <c r="P177" s="365"/>
      <c r="Q177" s="371"/>
      <c r="R177" s="374"/>
      <c r="S177" s="374"/>
      <c r="T177" s="102"/>
      <c r="U177" s="106">
        <f t="shared" si="473"/>
        <v>0</v>
      </c>
      <c r="V177" s="102"/>
      <c r="W177" s="106">
        <f t="shared" si="474"/>
        <v>0</v>
      </c>
      <c r="X177" s="102"/>
      <c r="Y177" s="106">
        <f t="shared" si="475"/>
        <v>0</v>
      </c>
      <c r="Z177" s="102"/>
      <c r="AA177" s="106">
        <f t="shared" si="476"/>
        <v>0</v>
      </c>
      <c r="AB177" s="102"/>
      <c r="AC177" s="106">
        <f t="shared" si="477"/>
        <v>0</v>
      </c>
      <c r="AD177" s="102"/>
      <c r="AE177" s="106">
        <f t="shared" si="478"/>
        <v>0</v>
      </c>
      <c r="AF177" s="102"/>
      <c r="AG177" s="106">
        <f t="shared" si="479"/>
        <v>0</v>
      </c>
      <c r="AH177" s="105">
        <f t="shared" si="461"/>
        <v>0</v>
      </c>
      <c r="AI177" s="105" t="str">
        <f t="shared" ref="AI177:AI178" si="483">IF(AH177&gt;=96,"Fuerte",IF(AH177&gt;=86,"Moderado",IF(AH177&gt;=1,"Débil","")))</f>
        <v/>
      </c>
      <c r="AJ177" s="107"/>
      <c r="AK177" s="105" t="str">
        <f t="shared" si="480"/>
        <v/>
      </c>
      <c r="AL177" s="105" t="str">
        <f t="shared" si="481"/>
        <v/>
      </c>
      <c r="AM177" s="105" t="str">
        <f>IFERROR(VLOOKUP(AL177,FORMULAS!$B$69:$D$77,3,FALSE),"")</f>
        <v/>
      </c>
      <c r="AN177" s="105" t="str">
        <f t="shared" si="482"/>
        <v/>
      </c>
      <c r="AO177" s="105" t="str">
        <f>IFERROR(VLOOKUP(AL177,FORMULAS!$B$69:$C$77,2,FALSE),"")</f>
        <v/>
      </c>
      <c r="AP177" s="359"/>
      <c r="AQ177" s="359"/>
      <c r="AR177" s="356"/>
      <c r="AS177" s="356"/>
      <c r="AT177" s="359"/>
      <c r="AU177" s="359"/>
      <c r="AV177" s="359"/>
      <c r="AW177" s="362"/>
      <c r="AX177" s="362"/>
      <c r="AY177" s="365"/>
      <c r="AZ177" s="368"/>
      <c r="BA177" s="371"/>
      <c r="BB177" s="266" t="s">
        <v>1100</v>
      </c>
      <c r="BC177" s="267"/>
      <c r="BD177" s="267"/>
      <c r="BE177" s="261"/>
      <c r="BF177" s="268"/>
      <c r="BG177" s="392"/>
      <c r="BH177" s="392"/>
      <c r="BI177" s="392"/>
      <c r="BJ177" s="395"/>
    </row>
    <row r="178" spans="2:62" s="86" customFormat="1" ht="20.100000000000001" customHeight="1" thickTop="1" thickBot="1" x14ac:dyDescent="0.3">
      <c r="B178" s="378"/>
      <c r="C178" s="363"/>
      <c r="D178" s="375"/>
      <c r="E178" s="375"/>
      <c r="F178" s="363"/>
      <c r="G178" s="363"/>
      <c r="H178" s="375"/>
      <c r="I178" s="381"/>
      <c r="J178" s="381"/>
      <c r="K178" s="124"/>
      <c r="L178" s="124"/>
      <c r="M178" s="366"/>
      <c r="N178" s="363"/>
      <c r="O178" s="363"/>
      <c r="P178" s="366"/>
      <c r="Q178" s="372"/>
      <c r="R178" s="375"/>
      <c r="S178" s="375"/>
      <c r="T178" s="125"/>
      <c r="U178" s="126">
        <f t="shared" si="473"/>
        <v>0</v>
      </c>
      <c r="V178" s="125"/>
      <c r="W178" s="126">
        <f t="shared" si="474"/>
        <v>0</v>
      </c>
      <c r="X178" s="125"/>
      <c r="Y178" s="126">
        <f t="shared" si="475"/>
        <v>0</v>
      </c>
      <c r="Z178" s="125"/>
      <c r="AA178" s="126">
        <f t="shared" si="476"/>
        <v>0</v>
      </c>
      <c r="AB178" s="125"/>
      <c r="AC178" s="126">
        <f t="shared" si="477"/>
        <v>0</v>
      </c>
      <c r="AD178" s="125"/>
      <c r="AE178" s="126">
        <f t="shared" si="478"/>
        <v>0</v>
      </c>
      <c r="AF178" s="125"/>
      <c r="AG178" s="126">
        <f t="shared" si="479"/>
        <v>0</v>
      </c>
      <c r="AH178" s="129">
        <f t="shared" si="461"/>
        <v>0</v>
      </c>
      <c r="AI178" s="129" t="str">
        <f t="shared" si="483"/>
        <v/>
      </c>
      <c r="AJ178" s="130"/>
      <c r="AK178" s="129" t="str">
        <f t="shared" si="480"/>
        <v/>
      </c>
      <c r="AL178" s="129" t="str">
        <f t="shared" si="481"/>
        <v/>
      </c>
      <c r="AM178" s="129" t="str">
        <f>IFERROR(VLOOKUP(AL178,FORMULAS!$B$69:$D$77,3,FALSE),"")</f>
        <v/>
      </c>
      <c r="AN178" s="129" t="str">
        <f t="shared" si="482"/>
        <v/>
      </c>
      <c r="AO178" s="129" t="str">
        <f>IFERROR(VLOOKUP(AL178,FORMULAS!$B$69:$C$77,2,FALSE),"")</f>
        <v/>
      </c>
      <c r="AP178" s="360"/>
      <c r="AQ178" s="360"/>
      <c r="AR178" s="357"/>
      <c r="AS178" s="357"/>
      <c r="AT178" s="360"/>
      <c r="AU178" s="360"/>
      <c r="AV178" s="360"/>
      <c r="AW178" s="363"/>
      <c r="AX178" s="363"/>
      <c r="AY178" s="366"/>
      <c r="AZ178" s="369"/>
      <c r="BA178" s="372"/>
      <c r="BB178" s="131"/>
      <c r="BC178" s="132"/>
      <c r="BD178" s="132"/>
      <c r="BE178" s="161"/>
      <c r="BF178" s="201"/>
      <c r="BG178" s="139"/>
      <c r="BH178" s="132"/>
      <c r="BI178" s="132"/>
      <c r="BJ178" s="156"/>
    </row>
    <row r="179" spans="2:62" s="86" customFormat="1" ht="84" x14ac:dyDescent="0.25">
      <c r="B179" s="407" t="s">
        <v>86</v>
      </c>
      <c r="C179" s="361">
        <v>49</v>
      </c>
      <c r="D179" s="373" t="s">
        <v>1101</v>
      </c>
      <c r="E179" s="373" t="s">
        <v>1102</v>
      </c>
      <c r="F179" s="361" t="s">
        <v>90</v>
      </c>
      <c r="G179" s="361" t="s">
        <v>98</v>
      </c>
      <c r="H179" s="373" t="s">
        <v>329</v>
      </c>
      <c r="I179" s="379" t="s">
        <v>129</v>
      </c>
      <c r="J179" s="379" t="s">
        <v>117</v>
      </c>
      <c r="K179" s="109" t="s">
        <v>1103</v>
      </c>
      <c r="L179" s="352" t="s">
        <v>1104</v>
      </c>
      <c r="M179" s="364" t="str">
        <f>IF(F179="gestion","impacto",IF(F179="corrupcion","impactocorrupcion",IF(F179="seguridad_de_la_informacion","impacto","")))</f>
        <v>impactocorrupcion</v>
      </c>
      <c r="N179" s="361" t="s">
        <v>19</v>
      </c>
      <c r="O179" s="361" t="s">
        <v>24</v>
      </c>
      <c r="P179" s="364" t="str">
        <f>N179&amp;O179</f>
        <v>ProbableMayor</v>
      </c>
      <c r="Q179" s="370" t="str">
        <f>IFERROR(VLOOKUP(P179,[18]FORMULAS!$B$37:$C$61,2,FALSE),"")</f>
        <v>Riesgo extremo</v>
      </c>
      <c r="R179" s="373" t="s">
        <v>1105</v>
      </c>
      <c r="S179" s="373"/>
      <c r="T179" s="112" t="s">
        <v>286</v>
      </c>
      <c r="U179" s="113">
        <f>IF(T179="Asignado",15,0)</f>
        <v>15</v>
      </c>
      <c r="V179" s="112" t="s">
        <v>287</v>
      </c>
      <c r="W179" s="113">
        <f>IF(V179="Adecuado",15,0)</f>
        <v>15</v>
      </c>
      <c r="X179" s="112" t="s">
        <v>288</v>
      </c>
      <c r="Y179" s="113">
        <f>IF(X179="Oportuna",15,0)</f>
        <v>15</v>
      </c>
      <c r="Z179" s="112" t="s">
        <v>291</v>
      </c>
      <c r="AA179" s="113">
        <f>IF(Z179="Prevenir",15,IF(Z179="Detectar",10,0))</f>
        <v>15</v>
      </c>
      <c r="AB179" s="112" t="s">
        <v>290</v>
      </c>
      <c r="AC179" s="113">
        <f>IF(AB179="Confiable",15,0)</f>
        <v>15</v>
      </c>
      <c r="AD179" s="112" t="s">
        <v>292</v>
      </c>
      <c r="AE179" s="113">
        <f>IF(AD179="Se investigan y resuelven oportunamente",15,0)</f>
        <v>15</v>
      </c>
      <c r="AF179" s="112" t="s">
        <v>289</v>
      </c>
      <c r="AG179" s="113">
        <f>IF(AF179="Completa",10,IF(AF179="incompleta",5,0))</f>
        <v>10</v>
      </c>
      <c r="AH179" s="116">
        <f t="shared" si="461"/>
        <v>100</v>
      </c>
      <c r="AI179" s="116" t="str">
        <f>IF(AH179&gt;=96,"Fuerte",IF(AH179&gt;=86,"Moderado",IF(AH179&gt;=1,"Débil","")))</f>
        <v>Fuerte</v>
      </c>
      <c r="AJ179" s="117" t="s">
        <v>293</v>
      </c>
      <c r="AK179" s="116" t="str">
        <f>IF(AJ179="Siempre se ejecuta","Fuerte",IF(AJ179="Algunas veces","Moderado",IF(AJ179="no se ejecuta","Débil","")))</f>
        <v>Fuerte</v>
      </c>
      <c r="AL179" s="116" t="str">
        <f>AI179&amp;AK179</f>
        <v>FuerteFuerte</v>
      </c>
      <c r="AM179" s="116" t="str">
        <f>IFERROR(VLOOKUP(AL179,[18]FORMULAS!$B$69:$D$77,3,FALSE),"")</f>
        <v>Fuerte</v>
      </c>
      <c r="AN179" s="116">
        <f>IF(AM179="fuerte",100,IF(AM179="Moderado",50,IF(AM179="débil",0,"")))</f>
        <v>100</v>
      </c>
      <c r="AO179" s="116" t="str">
        <f>IFERROR(VLOOKUP(AL179,[18]FORMULAS!$B$69:$D$77,2,FALSE),"")</f>
        <v>No</v>
      </c>
      <c r="AP179" s="358">
        <f>IFERROR(AVERAGE(AN179:AN182),0)</f>
        <v>75</v>
      </c>
      <c r="AQ179" s="358" t="str">
        <f>IF(AP179&gt;=100,"Fuerte",IF(AP179&gt;=50,"Moderado",IF(AP179&gt;=1,"Débil","")))</f>
        <v>Moderado</v>
      </c>
      <c r="AR179" s="355" t="s">
        <v>160</v>
      </c>
      <c r="AS179" s="355" t="s">
        <v>160</v>
      </c>
      <c r="AT179" s="358" t="str">
        <f>+AQ179&amp;AR179&amp;AS179</f>
        <v>ModeradoDirectamenteDirectamente</v>
      </c>
      <c r="AU179" s="358">
        <f>IFERROR(VLOOKUP(AT179,[18]FORMULAS!$B$94:$D$101,2,FALSE),0)</f>
        <v>1</v>
      </c>
      <c r="AV179" s="358">
        <f>IFERROR(VLOOKUP(AT179,[18]FORMULAS!$B$94:$D$101,3,FALSE),0)</f>
        <v>1</v>
      </c>
      <c r="AW179" s="361" t="s">
        <v>18</v>
      </c>
      <c r="AX179" s="361" t="s">
        <v>23</v>
      </c>
      <c r="AY179" s="364" t="str">
        <f>AW179&amp;AX179</f>
        <v>PosibleModerado</v>
      </c>
      <c r="AZ179" s="367" t="str">
        <f>IFERROR(VLOOKUP(AY179,[18]FORMULAS!$B$37:$C$61,2,FALSE),"")</f>
        <v>Riesgo alto</v>
      </c>
      <c r="BA179" s="370" t="s">
        <v>167</v>
      </c>
      <c r="BB179" s="153" t="s">
        <v>1108</v>
      </c>
      <c r="BC179" s="153" t="s">
        <v>1109</v>
      </c>
      <c r="BD179" s="153" t="s">
        <v>1110</v>
      </c>
      <c r="BE179" s="160" t="s">
        <v>426</v>
      </c>
      <c r="BF179" s="160" t="s">
        <v>1111</v>
      </c>
      <c r="BG179" s="119" t="s">
        <v>1112</v>
      </c>
      <c r="BH179" s="119" t="s">
        <v>871</v>
      </c>
      <c r="BI179" s="119" t="s">
        <v>425</v>
      </c>
      <c r="BJ179" s="154" t="s">
        <v>1113</v>
      </c>
    </row>
    <row r="180" spans="2:62" s="86" customFormat="1" ht="48" x14ac:dyDescent="0.25">
      <c r="B180" s="408"/>
      <c r="C180" s="362"/>
      <c r="D180" s="374"/>
      <c r="E180" s="374"/>
      <c r="F180" s="362"/>
      <c r="G180" s="362"/>
      <c r="H180" s="374"/>
      <c r="I180" s="380"/>
      <c r="J180" s="380"/>
      <c r="K180" s="121" t="s">
        <v>1106</v>
      </c>
      <c r="L180" s="353"/>
      <c r="M180" s="365"/>
      <c r="N180" s="362"/>
      <c r="O180" s="362"/>
      <c r="P180" s="365"/>
      <c r="Q180" s="371"/>
      <c r="R180" s="374" t="s">
        <v>1107</v>
      </c>
      <c r="S180" s="374"/>
      <c r="T180" s="102" t="s">
        <v>286</v>
      </c>
      <c r="U180" s="106">
        <f t="shared" ref="U180:U182" si="484">IF(T180="Asignado",15,0)</f>
        <v>15</v>
      </c>
      <c r="V180" s="102" t="s">
        <v>287</v>
      </c>
      <c r="W180" s="106">
        <f t="shared" ref="W180:W182" si="485">IF(V180="Adecuado",15,0)</f>
        <v>15</v>
      </c>
      <c r="X180" s="102" t="s">
        <v>288</v>
      </c>
      <c r="Y180" s="106">
        <f t="shared" ref="Y180:Y182" si="486">IF(X180="Oportuna",15,0)</f>
        <v>15</v>
      </c>
      <c r="Z180" s="102" t="s">
        <v>341</v>
      </c>
      <c r="AA180" s="106">
        <f t="shared" ref="AA180:AA182" si="487">IF(Z180="Prevenir",15,IF(Z180="Detectar",10,0))</f>
        <v>10</v>
      </c>
      <c r="AB180" s="102" t="s">
        <v>290</v>
      </c>
      <c r="AC180" s="106">
        <f t="shared" ref="AC180:AC182" si="488">IF(AB180="Confiable",15,0)</f>
        <v>15</v>
      </c>
      <c r="AD180" s="102" t="s">
        <v>292</v>
      </c>
      <c r="AE180" s="106">
        <f t="shared" ref="AE180:AE182" si="489">IF(AD180="Se investigan y resuelven oportunamente",15,0)</f>
        <v>15</v>
      </c>
      <c r="AF180" s="102" t="s">
        <v>289</v>
      </c>
      <c r="AG180" s="106">
        <f t="shared" ref="AG180:AG182" si="490">IF(AF180="Completa",10,IF(AF180="incompleta",5,0))</f>
        <v>10</v>
      </c>
      <c r="AH180" s="105">
        <f t="shared" si="461"/>
        <v>95</v>
      </c>
      <c r="AI180" s="105" t="str">
        <f>IF(AH180&gt;=96,"Fuerte",IF(AH180&gt;=86,"Moderado",IF(AH180&gt;=1,"Débil","")))</f>
        <v>Moderado</v>
      </c>
      <c r="AJ180" s="107" t="s">
        <v>293</v>
      </c>
      <c r="AK180" s="105" t="str">
        <f t="shared" ref="AK180:AK182" si="491">IF(AJ180="Siempre se ejecuta","Fuerte",IF(AJ180="Algunas veces","Moderado",IF(AJ180="no se ejecuta","Débil","")))</f>
        <v>Fuerte</v>
      </c>
      <c r="AL180" s="105" t="str">
        <f t="shared" ref="AL180:AL182" si="492">AI180&amp;AK180</f>
        <v>ModeradoFuerte</v>
      </c>
      <c r="AM180" s="105" t="str">
        <f>IFERROR(VLOOKUP(AL180,[18]FORMULAS!$B$69:$D$77,3,FALSE),"")</f>
        <v>Moderado</v>
      </c>
      <c r="AN180" s="105">
        <f t="shared" ref="AN180:AN182" si="493">IF(AM180="fuerte",100,IF(AM180="Moderado",50,IF(AM180="débil",0,"")))</f>
        <v>50</v>
      </c>
      <c r="AO180" s="105" t="str">
        <f>IFERROR(VLOOKUP(AL180,[18]FORMULAS!$B$69:$C$77,2,FALSE),"")</f>
        <v>Sí</v>
      </c>
      <c r="AP180" s="359"/>
      <c r="AQ180" s="359"/>
      <c r="AR180" s="356"/>
      <c r="AS180" s="356"/>
      <c r="AT180" s="359"/>
      <c r="AU180" s="359"/>
      <c r="AV180" s="359"/>
      <c r="AW180" s="362"/>
      <c r="AX180" s="362"/>
      <c r="AY180" s="365"/>
      <c r="AZ180" s="368"/>
      <c r="BA180" s="371"/>
      <c r="BB180" s="152" t="s">
        <v>1114</v>
      </c>
      <c r="BC180" s="152" t="s">
        <v>1115</v>
      </c>
      <c r="BD180" s="152" t="s">
        <v>1110</v>
      </c>
      <c r="BE180" s="83" t="s">
        <v>426</v>
      </c>
      <c r="BF180" s="83" t="s">
        <v>1116</v>
      </c>
      <c r="BG180" s="163"/>
      <c r="BH180" s="170"/>
      <c r="BI180" s="170"/>
      <c r="BJ180" s="236"/>
    </row>
    <row r="181" spans="2:62" s="86" customFormat="1" ht="12" x14ac:dyDescent="0.25">
      <c r="B181" s="408"/>
      <c r="C181" s="362"/>
      <c r="D181" s="374"/>
      <c r="E181" s="374"/>
      <c r="F181" s="362"/>
      <c r="G181" s="362"/>
      <c r="H181" s="374"/>
      <c r="I181" s="380"/>
      <c r="J181" s="380"/>
      <c r="K181" s="80"/>
      <c r="L181" s="353"/>
      <c r="M181" s="365"/>
      <c r="N181" s="362"/>
      <c r="O181" s="362"/>
      <c r="P181" s="365"/>
      <c r="Q181" s="371"/>
      <c r="R181" s="374"/>
      <c r="S181" s="374"/>
      <c r="T181" s="102"/>
      <c r="U181" s="106">
        <f t="shared" si="484"/>
        <v>0</v>
      </c>
      <c r="V181" s="102"/>
      <c r="W181" s="106">
        <f t="shared" si="485"/>
        <v>0</v>
      </c>
      <c r="X181" s="102"/>
      <c r="Y181" s="106">
        <f t="shared" si="486"/>
        <v>0</v>
      </c>
      <c r="Z181" s="102"/>
      <c r="AA181" s="106">
        <f t="shared" si="487"/>
        <v>0</v>
      </c>
      <c r="AB181" s="102"/>
      <c r="AC181" s="106">
        <f t="shared" si="488"/>
        <v>0</v>
      </c>
      <c r="AD181" s="102"/>
      <c r="AE181" s="106">
        <f t="shared" si="489"/>
        <v>0</v>
      </c>
      <c r="AF181" s="102"/>
      <c r="AG181" s="106">
        <f t="shared" si="490"/>
        <v>0</v>
      </c>
      <c r="AH181" s="105">
        <f t="shared" si="461"/>
        <v>0</v>
      </c>
      <c r="AI181" s="105" t="str">
        <f t="shared" ref="AI181:AI182" si="494">IF(AH181&gt;=96,"Fuerte",IF(AH181&gt;=86,"Moderado",IF(AH181&gt;=1,"Débil","")))</f>
        <v/>
      </c>
      <c r="AJ181" s="107"/>
      <c r="AK181" s="105" t="str">
        <f t="shared" si="491"/>
        <v/>
      </c>
      <c r="AL181" s="105" t="str">
        <f t="shared" si="492"/>
        <v/>
      </c>
      <c r="AM181" s="105" t="str">
        <f>IFERROR(VLOOKUP(AL181,[18]FORMULAS!$B$69:$D$77,3,FALSE),"")</f>
        <v/>
      </c>
      <c r="AN181" s="105" t="str">
        <f t="shared" si="493"/>
        <v/>
      </c>
      <c r="AO181" s="105" t="str">
        <f>IFERROR(VLOOKUP(AL181,[18]FORMULAS!$B$69:$C$77,2,FALSE),"")</f>
        <v/>
      </c>
      <c r="AP181" s="359"/>
      <c r="AQ181" s="359"/>
      <c r="AR181" s="356"/>
      <c r="AS181" s="356"/>
      <c r="AT181" s="359"/>
      <c r="AU181" s="359"/>
      <c r="AV181" s="359"/>
      <c r="AW181" s="362"/>
      <c r="AX181" s="362"/>
      <c r="AY181" s="365"/>
      <c r="AZ181" s="368"/>
      <c r="BA181" s="371"/>
      <c r="BB181" s="152"/>
      <c r="BC181" s="82"/>
      <c r="BD181" s="82"/>
      <c r="BE181" s="83"/>
      <c r="BF181" s="83"/>
      <c r="BG181" s="84"/>
      <c r="BH181" s="82"/>
      <c r="BI181" s="82"/>
      <c r="BJ181" s="155"/>
    </row>
    <row r="182" spans="2:62" s="86" customFormat="1" ht="12.75" thickBot="1" x14ac:dyDescent="0.3">
      <c r="B182" s="409"/>
      <c r="C182" s="363"/>
      <c r="D182" s="375"/>
      <c r="E182" s="375"/>
      <c r="F182" s="363"/>
      <c r="G182" s="363"/>
      <c r="H182" s="375"/>
      <c r="I182" s="381"/>
      <c r="J182" s="381"/>
      <c r="K182" s="124"/>
      <c r="L182" s="354"/>
      <c r="M182" s="366"/>
      <c r="N182" s="363"/>
      <c r="O182" s="363"/>
      <c r="P182" s="366"/>
      <c r="Q182" s="372"/>
      <c r="R182" s="375"/>
      <c r="S182" s="375"/>
      <c r="T182" s="125"/>
      <c r="U182" s="126">
        <f t="shared" si="484"/>
        <v>0</v>
      </c>
      <c r="V182" s="125"/>
      <c r="W182" s="126">
        <f t="shared" si="485"/>
        <v>0</v>
      </c>
      <c r="X182" s="125"/>
      <c r="Y182" s="126">
        <f t="shared" si="486"/>
        <v>0</v>
      </c>
      <c r="Z182" s="125"/>
      <c r="AA182" s="126">
        <f t="shared" si="487"/>
        <v>0</v>
      </c>
      <c r="AB182" s="125"/>
      <c r="AC182" s="126">
        <f t="shared" si="488"/>
        <v>0</v>
      </c>
      <c r="AD182" s="125"/>
      <c r="AE182" s="126">
        <f t="shared" si="489"/>
        <v>0</v>
      </c>
      <c r="AF182" s="125"/>
      <c r="AG182" s="126">
        <f t="shared" si="490"/>
        <v>0</v>
      </c>
      <c r="AH182" s="129">
        <f t="shared" si="461"/>
        <v>0</v>
      </c>
      <c r="AI182" s="129" t="str">
        <f t="shared" si="494"/>
        <v/>
      </c>
      <c r="AJ182" s="130"/>
      <c r="AK182" s="129" t="str">
        <f t="shared" si="491"/>
        <v/>
      </c>
      <c r="AL182" s="129" t="str">
        <f t="shared" si="492"/>
        <v/>
      </c>
      <c r="AM182" s="129" t="str">
        <f>IFERROR(VLOOKUP(AL182,[18]FORMULAS!$B$69:$D$77,3,FALSE),"")</f>
        <v/>
      </c>
      <c r="AN182" s="129" t="str">
        <f t="shared" si="493"/>
        <v/>
      </c>
      <c r="AO182" s="129" t="str">
        <f>IFERROR(VLOOKUP(AL182,[18]FORMULAS!$B$69:$C$77,2,FALSE),"")</f>
        <v/>
      </c>
      <c r="AP182" s="360"/>
      <c r="AQ182" s="360"/>
      <c r="AR182" s="357"/>
      <c r="AS182" s="357"/>
      <c r="AT182" s="360"/>
      <c r="AU182" s="360"/>
      <c r="AV182" s="360"/>
      <c r="AW182" s="363"/>
      <c r="AX182" s="363"/>
      <c r="AY182" s="366"/>
      <c r="AZ182" s="369"/>
      <c r="BA182" s="372"/>
      <c r="BB182" s="131"/>
      <c r="BC182" s="132"/>
      <c r="BD182" s="132"/>
      <c r="BE182" s="161"/>
      <c r="BF182" s="162"/>
      <c r="BG182" s="139"/>
      <c r="BH182" s="132"/>
      <c r="BI182" s="132"/>
      <c r="BJ182" s="156"/>
    </row>
    <row r="183" spans="2:62" s="86" customFormat="1" ht="60" x14ac:dyDescent="0.25">
      <c r="B183" s="407" t="s">
        <v>86</v>
      </c>
      <c r="C183" s="361">
        <v>50</v>
      </c>
      <c r="D183" s="373" t="s">
        <v>1117</v>
      </c>
      <c r="E183" s="373" t="s">
        <v>1118</v>
      </c>
      <c r="F183" s="361" t="s">
        <v>91</v>
      </c>
      <c r="G183" s="361" t="s">
        <v>99</v>
      </c>
      <c r="H183" s="373" t="s">
        <v>1119</v>
      </c>
      <c r="I183" s="379" t="s">
        <v>128</v>
      </c>
      <c r="J183" s="379" t="s">
        <v>113</v>
      </c>
      <c r="K183" s="109" t="s">
        <v>1120</v>
      </c>
      <c r="L183" s="352" t="s">
        <v>1121</v>
      </c>
      <c r="M183" s="364" t="str">
        <f>IF(F183="gestion","impacto",IF(F183="corrupcion","impactocorrupcion",IF(F183="seguridad_de_la_informacion","impacto","")))</f>
        <v>impacto</v>
      </c>
      <c r="N183" s="361" t="s">
        <v>18</v>
      </c>
      <c r="O183" s="361" t="s">
        <v>22</v>
      </c>
      <c r="P183" s="364" t="str">
        <f>N183&amp;O183</f>
        <v>PosibleMenor</v>
      </c>
      <c r="Q183" s="370" t="str">
        <f>IFERROR(VLOOKUP(P183,[18]FORMULAS!$B$37:$C$61,2,FALSE),"")</f>
        <v>Riesgo moderado</v>
      </c>
      <c r="R183" s="405" t="s">
        <v>1122</v>
      </c>
      <c r="S183" s="405"/>
      <c r="T183" s="112" t="s">
        <v>286</v>
      </c>
      <c r="U183" s="113">
        <f>IF(T183="Asignado",15,0)</f>
        <v>15</v>
      </c>
      <c r="V183" s="112" t="s">
        <v>287</v>
      </c>
      <c r="W183" s="113">
        <f>IF(V183="Adecuado",15,0)</f>
        <v>15</v>
      </c>
      <c r="X183" s="112" t="s">
        <v>288</v>
      </c>
      <c r="Y183" s="113">
        <f>IF(X183="Oportuna",15,0)</f>
        <v>15</v>
      </c>
      <c r="Z183" s="112" t="s">
        <v>291</v>
      </c>
      <c r="AA183" s="113">
        <f>IF(Z183="Prevenir",15,IF(Z183="Detectar",10,0))</f>
        <v>15</v>
      </c>
      <c r="AB183" s="112" t="s">
        <v>290</v>
      </c>
      <c r="AC183" s="113">
        <f>IF(AB183="Confiable",15,0)</f>
        <v>15</v>
      </c>
      <c r="AD183" s="112" t="s">
        <v>292</v>
      </c>
      <c r="AE183" s="113">
        <f>IF(AD183="Se investigan y resuelven oportunamente",15,0)</f>
        <v>15</v>
      </c>
      <c r="AF183" s="112" t="s">
        <v>289</v>
      </c>
      <c r="AG183" s="113">
        <f>IF(AF183="Completa",10,IF(AF183="incompleta",5,0))</f>
        <v>10</v>
      </c>
      <c r="AH183" s="116">
        <f t="shared" si="461"/>
        <v>100</v>
      </c>
      <c r="AI183" s="116" t="str">
        <f>IF(AH183&gt;=96,"Fuerte",IF(AH183&gt;=86,"Moderado",IF(AH183&gt;=1,"Débil","")))</f>
        <v>Fuerte</v>
      </c>
      <c r="AJ183" s="117" t="s">
        <v>293</v>
      </c>
      <c r="AK183" s="116" t="str">
        <f>IF(AJ183="Siempre se ejecuta","Fuerte",IF(AJ183="Algunas veces","Moderado",IF(AJ183="no se ejecuta","Débil","")))</f>
        <v>Fuerte</v>
      </c>
      <c r="AL183" s="116" t="str">
        <f>AI183&amp;AK183</f>
        <v>FuerteFuerte</v>
      </c>
      <c r="AM183" s="116" t="str">
        <f>IFERROR(VLOOKUP(AL183,[18]FORMULAS!$B$69:$D$77,3,FALSE),"")</f>
        <v>Fuerte</v>
      </c>
      <c r="AN183" s="116">
        <f>IF(AM183="fuerte",100,IF(AM183="Moderado",50,IF(AM183="débil",0,"")))</f>
        <v>100</v>
      </c>
      <c r="AO183" s="116" t="str">
        <f>IFERROR(VLOOKUP(AL183,[18]FORMULAS!$B$69:$D$77,2,FALSE),"")</f>
        <v>No</v>
      </c>
      <c r="AP183" s="358">
        <f>IFERROR(AVERAGE(AN183:AN186),0)</f>
        <v>100</v>
      </c>
      <c r="AQ183" s="358" t="str">
        <f>IF(AP183&gt;=100,"Fuerte",IF(AP183&gt;=50,"Moderado",IF(AP183&gt;=1,"Débil","")))</f>
        <v>Fuerte</v>
      </c>
      <c r="AR183" s="355" t="s">
        <v>160</v>
      </c>
      <c r="AS183" s="355" t="s">
        <v>160</v>
      </c>
      <c r="AT183" s="358" t="str">
        <f>+AQ183&amp;AR183&amp;AS183</f>
        <v>FuerteDirectamenteDirectamente</v>
      </c>
      <c r="AU183" s="358">
        <f>IFERROR(VLOOKUP(AT183,[18]FORMULAS!$B$94:$D$101,2,FALSE),0)</f>
        <v>2</v>
      </c>
      <c r="AV183" s="358">
        <f>IFERROR(VLOOKUP(AT183,[18]FORMULAS!$B$94:$D$101,3,FALSE),0)</f>
        <v>2</v>
      </c>
      <c r="AW183" s="361" t="s">
        <v>134</v>
      </c>
      <c r="AX183" s="361" t="s">
        <v>21</v>
      </c>
      <c r="AY183" s="364" t="str">
        <f>AW183&amp;AX183</f>
        <v>Rara vezInsignificante</v>
      </c>
      <c r="AZ183" s="367" t="str">
        <f>IFERROR(VLOOKUP(AY183,[18]FORMULAS!$B$37:$C$61,2,FALSE),"")</f>
        <v>Riesgo bajo</v>
      </c>
      <c r="BA183" s="370" t="s">
        <v>167</v>
      </c>
      <c r="BB183" s="153" t="s">
        <v>1124</v>
      </c>
      <c r="BC183" s="119" t="s">
        <v>1125</v>
      </c>
      <c r="BD183" s="153" t="s">
        <v>1126</v>
      </c>
      <c r="BE183" s="160" t="s">
        <v>432</v>
      </c>
      <c r="BF183" s="160" t="s">
        <v>1127</v>
      </c>
      <c r="BG183" s="119" t="s">
        <v>1128</v>
      </c>
      <c r="BH183" s="119" t="s">
        <v>1129</v>
      </c>
      <c r="BI183" s="153" t="s">
        <v>1126</v>
      </c>
      <c r="BJ183" s="154" t="s">
        <v>453</v>
      </c>
    </row>
    <row r="184" spans="2:62" s="86" customFormat="1" ht="60" x14ac:dyDescent="0.25">
      <c r="B184" s="408"/>
      <c r="C184" s="362"/>
      <c r="D184" s="374"/>
      <c r="E184" s="374"/>
      <c r="F184" s="362"/>
      <c r="G184" s="362"/>
      <c r="H184" s="374"/>
      <c r="I184" s="380"/>
      <c r="J184" s="380"/>
      <c r="K184" s="80"/>
      <c r="L184" s="353"/>
      <c r="M184" s="365"/>
      <c r="N184" s="362"/>
      <c r="O184" s="362"/>
      <c r="P184" s="365"/>
      <c r="Q184" s="371"/>
      <c r="R184" s="406" t="s">
        <v>1123</v>
      </c>
      <c r="S184" s="406"/>
      <c r="T184" s="102" t="s">
        <v>286</v>
      </c>
      <c r="U184" s="106">
        <f t="shared" ref="U184:U186" si="495">IF(T184="Asignado",15,0)</f>
        <v>15</v>
      </c>
      <c r="V184" s="102" t="s">
        <v>287</v>
      </c>
      <c r="W184" s="106">
        <f t="shared" ref="W184:W186" si="496">IF(V184="Adecuado",15,0)</f>
        <v>15</v>
      </c>
      <c r="X184" s="102" t="s">
        <v>288</v>
      </c>
      <c r="Y184" s="106">
        <f t="shared" ref="Y184:Y186" si="497">IF(X184="Oportuna",15,0)</f>
        <v>15</v>
      </c>
      <c r="Z184" s="102" t="s">
        <v>291</v>
      </c>
      <c r="AA184" s="106">
        <f t="shared" ref="AA184:AA186" si="498">IF(Z184="Prevenir",15,IF(Z184="Detectar",10,0))</f>
        <v>15</v>
      </c>
      <c r="AB184" s="102" t="s">
        <v>290</v>
      </c>
      <c r="AC184" s="106">
        <f t="shared" ref="AC184:AC186" si="499">IF(AB184="Confiable",15,0)</f>
        <v>15</v>
      </c>
      <c r="AD184" s="102" t="s">
        <v>292</v>
      </c>
      <c r="AE184" s="106">
        <f t="shared" ref="AE184:AE186" si="500">IF(AD184="Se investigan y resuelven oportunamente",15,0)</f>
        <v>15</v>
      </c>
      <c r="AF184" s="102" t="s">
        <v>289</v>
      </c>
      <c r="AG184" s="106">
        <f t="shared" ref="AG184:AG186" si="501">IF(AF184="Completa",10,IF(AF184="incompleta",5,0))</f>
        <v>10</v>
      </c>
      <c r="AH184" s="105">
        <f t="shared" si="461"/>
        <v>100</v>
      </c>
      <c r="AI184" s="105" t="str">
        <f>IF(AH184&gt;=96,"Fuerte",IF(AH184&gt;=86,"Moderado",IF(AH184&gt;=1,"Débil","")))</f>
        <v>Fuerte</v>
      </c>
      <c r="AJ184" s="107" t="s">
        <v>293</v>
      </c>
      <c r="AK184" s="105" t="str">
        <f t="shared" ref="AK184:AK186" si="502">IF(AJ184="Siempre se ejecuta","Fuerte",IF(AJ184="Algunas veces","Moderado",IF(AJ184="no se ejecuta","Débil","")))</f>
        <v>Fuerte</v>
      </c>
      <c r="AL184" s="105" t="str">
        <f t="shared" ref="AL184:AL186" si="503">AI184&amp;AK184</f>
        <v>FuerteFuerte</v>
      </c>
      <c r="AM184" s="105" t="str">
        <f>IFERROR(VLOOKUP(AL184,[18]FORMULAS!$B$69:$D$77,3,FALSE),"")</f>
        <v>Fuerte</v>
      </c>
      <c r="AN184" s="105">
        <f t="shared" ref="AN184:AN186" si="504">IF(AM184="fuerte",100,IF(AM184="Moderado",50,IF(AM184="débil",0,"")))</f>
        <v>100</v>
      </c>
      <c r="AO184" s="105" t="str">
        <f>IFERROR(VLOOKUP(AL184,[18]FORMULAS!$B$69:$C$77,2,FALSE),"")</f>
        <v>No</v>
      </c>
      <c r="AP184" s="359"/>
      <c r="AQ184" s="359"/>
      <c r="AR184" s="356"/>
      <c r="AS184" s="356"/>
      <c r="AT184" s="359"/>
      <c r="AU184" s="359"/>
      <c r="AV184" s="359"/>
      <c r="AW184" s="362"/>
      <c r="AX184" s="362"/>
      <c r="AY184" s="365"/>
      <c r="AZ184" s="368"/>
      <c r="BA184" s="371"/>
      <c r="BB184" s="152" t="s">
        <v>1130</v>
      </c>
      <c r="BC184" s="84" t="s">
        <v>1131</v>
      </c>
      <c r="BD184" s="152" t="s">
        <v>1126</v>
      </c>
      <c r="BE184" s="83" t="s">
        <v>432</v>
      </c>
      <c r="BF184" s="83" t="s">
        <v>1132</v>
      </c>
      <c r="BG184" s="84"/>
      <c r="BH184" s="82"/>
      <c r="BI184" s="82"/>
      <c r="BJ184" s="155"/>
    </row>
    <row r="185" spans="2:62" s="86" customFormat="1" ht="12" x14ac:dyDescent="0.25">
      <c r="B185" s="408"/>
      <c r="C185" s="362"/>
      <c r="D185" s="374"/>
      <c r="E185" s="374"/>
      <c r="F185" s="362"/>
      <c r="G185" s="362"/>
      <c r="H185" s="374"/>
      <c r="I185" s="380"/>
      <c r="J185" s="380"/>
      <c r="K185" s="80"/>
      <c r="L185" s="353"/>
      <c r="M185" s="365"/>
      <c r="N185" s="362"/>
      <c r="O185" s="362"/>
      <c r="P185" s="365"/>
      <c r="Q185" s="371"/>
      <c r="R185" s="374"/>
      <c r="S185" s="374"/>
      <c r="T185" s="102"/>
      <c r="U185" s="106">
        <f t="shared" si="495"/>
        <v>0</v>
      </c>
      <c r="V185" s="102"/>
      <c r="W185" s="106">
        <f t="shared" si="496"/>
        <v>0</v>
      </c>
      <c r="X185" s="102"/>
      <c r="Y185" s="106">
        <f t="shared" si="497"/>
        <v>0</v>
      </c>
      <c r="Z185" s="102"/>
      <c r="AA185" s="106">
        <f t="shared" si="498"/>
        <v>0</v>
      </c>
      <c r="AB185" s="102"/>
      <c r="AC185" s="106">
        <f t="shared" si="499"/>
        <v>0</v>
      </c>
      <c r="AD185" s="102"/>
      <c r="AE185" s="106">
        <f t="shared" si="500"/>
        <v>0</v>
      </c>
      <c r="AF185" s="102"/>
      <c r="AG185" s="106">
        <f t="shared" si="501"/>
        <v>0</v>
      </c>
      <c r="AH185" s="105">
        <f t="shared" si="461"/>
        <v>0</v>
      </c>
      <c r="AI185" s="105" t="str">
        <f t="shared" ref="AI185:AI186" si="505">IF(AH185&gt;=96,"Fuerte",IF(AH185&gt;=86,"Moderado",IF(AH185&gt;=1,"Débil","")))</f>
        <v/>
      </c>
      <c r="AJ185" s="107"/>
      <c r="AK185" s="105" t="str">
        <f t="shared" si="502"/>
        <v/>
      </c>
      <c r="AL185" s="105" t="str">
        <f t="shared" si="503"/>
        <v/>
      </c>
      <c r="AM185" s="105" t="str">
        <f>IFERROR(VLOOKUP(AL185,[18]FORMULAS!$B$69:$D$77,3,FALSE),"")</f>
        <v/>
      </c>
      <c r="AN185" s="105" t="str">
        <f t="shared" si="504"/>
        <v/>
      </c>
      <c r="AO185" s="105" t="str">
        <f>IFERROR(VLOOKUP(AL185,[18]FORMULAS!$B$69:$C$77,2,FALSE),"")</f>
        <v/>
      </c>
      <c r="AP185" s="359"/>
      <c r="AQ185" s="359"/>
      <c r="AR185" s="356"/>
      <c r="AS185" s="356"/>
      <c r="AT185" s="359"/>
      <c r="AU185" s="359"/>
      <c r="AV185" s="359"/>
      <c r="AW185" s="362"/>
      <c r="AX185" s="362"/>
      <c r="AY185" s="365"/>
      <c r="AZ185" s="368"/>
      <c r="BA185" s="371"/>
      <c r="BB185" s="152"/>
      <c r="BC185" s="82"/>
      <c r="BD185" s="82"/>
      <c r="BE185" s="83"/>
      <c r="BF185" s="83"/>
      <c r="BG185" s="84"/>
      <c r="BH185" s="82"/>
      <c r="BI185" s="82"/>
      <c r="BJ185" s="155"/>
    </row>
    <row r="186" spans="2:62" s="86" customFormat="1" ht="12.75" thickBot="1" x14ac:dyDescent="0.3">
      <c r="B186" s="409"/>
      <c r="C186" s="363"/>
      <c r="D186" s="375"/>
      <c r="E186" s="375"/>
      <c r="F186" s="363"/>
      <c r="G186" s="363"/>
      <c r="H186" s="375"/>
      <c r="I186" s="381"/>
      <c r="J186" s="381"/>
      <c r="K186" s="124"/>
      <c r="L186" s="354"/>
      <c r="M186" s="366"/>
      <c r="N186" s="363"/>
      <c r="O186" s="363"/>
      <c r="P186" s="366"/>
      <c r="Q186" s="372"/>
      <c r="R186" s="375"/>
      <c r="S186" s="375"/>
      <c r="T186" s="125"/>
      <c r="U186" s="126">
        <f t="shared" si="495"/>
        <v>0</v>
      </c>
      <c r="V186" s="125"/>
      <c r="W186" s="126">
        <f t="shared" si="496"/>
        <v>0</v>
      </c>
      <c r="X186" s="125"/>
      <c r="Y186" s="126">
        <f t="shared" si="497"/>
        <v>0</v>
      </c>
      <c r="Z186" s="125"/>
      <c r="AA186" s="126">
        <f t="shared" si="498"/>
        <v>0</v>
      </c>
      <c r="AB186" s="125"/>
      <c r="AC186" s="126">
        <f t="shared" si="499"/>
        <v>0</v>
      </c>
      <c r="AD186" s="125"/>
      <c r="AE186" s="126">
        <f t="shared" si="500"/>
        <v>0</v>
      </c>
      <c r="AF186" s="125"/>
      <c r="AG186" s="126">
        <f t="shared" si="501"/>
        <v>0</v>
      </c>
      <c r="AH186" s="129">
        <f t="shared" si="461"/>
        <v>0</v>
      </c>
      <c r="AI186" s="129" t="str">
        <f t="shared" si="505"/>
        <v/>
      </c>
      <c r="AJ186" s="130"/>
      <c r="AK186" s="129" t="str">
        <f t="shared" si="502"/>
        <v/>
      </c>
      <c r="AL186" s="129" t="str">
        <f t="shared" si="503"/>
        <v/>
      </c>
      <c r="AM186" s="129" t="str">
        <f>IFERROR(VLOOKUP(AL186,[18]FORMULAS!$B$69:$D$77,3,FALSE),"")</f>
        <v/>
      </c>
      <c r="AN186" s="129" t="str">
        <f t="shared" si="504"/>
        <v/>
      </c>
      <c r="AO186" s="129" t="str">
        <f>IFERROR(VLOOKUP(AL186,[18]FORMULAS!$B$69:$C$77,2,FALSE),"")</f>
        <v/>
      </c>
      <c r="AP186" s="360"/>
      <c r="AQ186" s="360"/>
      <c r="AR186" s="357"/>
      <c r="AS186" s="357"/>
      <c r="AT186" s="360"/>
      <c r="AU186" s="360"/>
      <c r="AV186" s="360"/>
      <c r="AW186" s="363"/>
      <c r="AX186" s="363"/>
      <c r="AY186" s="366"/>
      <c r="AZ186" s="369"/>
      <c r="BA186" s="372"/>
      <c r="BB186" s="131"/>
      <c r="BC186" s="132"/>
      <c r="BD186" s="132"/>
      <c r="BE186" s="161"/>
      <c r="BF186" s="162"/>
      <c r="BG186" s="139"/>
      <c r="BH186" s="132"/>
      <c r="BI186" s="132"/>
      <c r="BJ186" s="156"/>
    </row>
    <row r="187" spans="2:62" s="86" customFormat="1" ht="60" x14ac:dyDescent="0.25">
      <c r="B187" s="376" t="s">
        <v>75</v>
      </c>
      <c r="C187" s="361">
        <v>51</v>
      </c>
      <c r="D187" s="373" t="s">
        <v>1133</v>
      </c>
      <c r="E187" s="373"/>
      <c r="F187" s="361" t="s">
        <v>89</v>
      </c>
      <c r="G187" s="361"/>
      <c r="H187" s="373" t="s">
        <v>532</v>
      </c>
      <c r="I187" s="379"/>
      <c r="J187" s="379"/>
      <c r="K187" s="109" t="s">
        <v>1134</v>
      </c>
      <c r="L187" s="199"/>
      <c r="M187" s="364" t="str">
        <f>IF(F187="gestion","impacto",IF(F187="corrupcion","impactocorrupcion",IF(F187="seguridad_de_la_informacion","impacto","")))</f>
        <v>impacto</v>
      </c>
      <c r="N187" s="361"/>
      <c r="O187" s="361"/>
      <c r="P187" s="364" t="str">
        <f>N187&amp;O187</f>
        <v/>
      </c>
      <c r="Q187" s="370" t="str">
        <f>IFERROR(VLOOKUP(P187,FORMULAS!$B$37:$C$61,2,FALSE),"")</f>
        <v/>
      </c>
      <c r="R187" s="373"/>
      <c r="S187" s="373"/>
      <c r="T187" s="112"/>
      <c r="U187" s="113">
        <f>IF(T187="Asignado",15,0)</f>
        <v>0</v>
      </c>
      <c r="V187" s="112"/>
      <c r="W187" s="113">
        <f>IF(V187="Adecuado",15,0)</f>
        <v>0</v>
      </c>
      <c r="X187" s="112"/>
      <c r="Y187" s="113">
        <f>IF(X187="Oportuna",15,0)</f>
        <v>0</v>
      </c>
      <c r="Z187" s="112"/>
      <c r="AA187" s="113">
        <f>IF(Z187="Prevenir",15,IF(Z187="Detectar",10,0))</f>
        <v>0</v>
      </c>
      <c r="AB187" s="112"/>
      <c r="AC187" s="113">
        <f>IF(AB187="Confiable",15,0)</f>
        <v>0</v>
      </c>
      <c r="AD187" s="112"/>
      <c r="AE187" s="113">
        <f>IF(AD187="Se investigan y resuelven oportunamente",15,0)</f>
        <v>0</v>
      </c>
      <c r="AF187" s="112"/>
      <c r="AG187" s="113">
        <f>IF(AF187="Completa",10,IF(AF187="incompleta",5,0))</f>
        <v>0</v>
      </c>
      <c r="AH187" s="116">
        <f t="shared" ref="AH187:AH195" si="506">U187+W187+Y187+AA187+AC187+AE187+AG187</f>
        <v>0</v>
      </c>
      <c r="AI187" s="116" t="str">
        <f>IF(AH187&gt;=96,"Fuerte",IF(AH187&gt;=86,"Moderado",IF(AH187&gt;=1,"Débil","")))</f>
        <v/>
      </c>
      <c r="AJ187" s="117"/>
      <c r="AK187" s="116" t="str">
        <f>IF(AJ187="Siempre se ejecuta","Fuerte",IF(AJ187="Algunas veces","Moderado",IF(AJ187="no se ejecuta","Débil","")))</f>
        <v/>
      </c>
      <c r="AL187" s="116" t="str">
        <f>AI187&amp;AK187</f>
        <v/>
      </c>
      <c r="AM187" s="116" t="str">
        <f>IFERROR(VLOOKUP(AL187,FORMULAS!$B$69:$D$77,3,FALSE),"")</f>
        <v/>
      </c>
      <c r="AN187" s="116" t="str">
        <f>IF(AM187="fuerte",100,IF(AM187="Moderado",50,IF(AM187="débil",0,"")))</f>
        <v/>
      </c>
      <c r="AO187" s="116" t="str">
        <f>IFERROR(VLOOKUP(AL187,FORMULAS!$B$69:$D$77,2,FALSE),"")</f>
        <v/>
      </c>
      <c r="AP187" s="358">
        <f>IFERROR(AVERAGE(AN187:AN190),0)</f>
        <v>0</v>
      </c>
      <c r="AQ187" s="358" t="str">
        <f>IF(AP187&gt;=100,"Fuerte",IF(AP187&gt;=50,"Moderado",IF(AP187&gt;=1,"Débil","")))</f>
        <v/>
      </c>
      <c r="AR187" s="355"/>
      <c r="AS187" s="355"/>
      <c r="AT187" s="358" t="str">
        <f>+AQ187&amp;AR187&amp;AS187</f>
        <v/>
      </c>
      <c r="AU187" s="358">
        <f>IFERROR(VLOOKUP(AT187,FORMULAS!$B$94:$D$101,2,FALSE),0)</f>
        <v>0</v>
      </c>
      <c r="AV187" s="358">
        <f>IFERROR(VLOOKUP(AT187,FORMULAS!$B$94:$D$101,3,FALSE),0)</f>
        <v>0</v>
      </c>
      <c r="AW187" s="361" t="s">
        <v>19</v>
      </c>
      <c r="AX187" s="361" t="s">
        <v>23</v>
      </c>
      <c r="AY187" s="364" t="str">
        <f>AW187&amp;AX187</f>
        <v>ProbableModerado</v>
      </c>
      <c r="AZ187" s="367" t="str">
        <f>IFERROR(VLOOKUP(AY187,FORMULAS!$B$37:$C$61,2,FALSE),"")</f>
        <v>Riesgo alto</v>
      </c>
      <c r="BA187" s="370" t="s">
        <v>166</v>
      </c>
      <c r="BB187" s="153" t="s">
        <v>1137</v>
      </c>
      <c r="BC187" s="119" t="s">
        <v>1138</v>
      </c>
      <c r="BD187" s="153" t="s">
        <v>1139</v>
      </c>
      <c r="BE187" s="160" t="s">
        <v>334</v>
      </c>
      <c r="BF187" s="324"/>
      <c r="BG187" s="388" t="s">
        <v>366</v>
      </c>
      <c r="BH187" s="388" t="s">
        <v>367</v>
      </c>
      <c r="BI187" s="388" t="s">
        <v>1145</v>
      </c>
      <c r="BJ187" s="390" t="s">
        <v>369</v>
      </c>
    </row>
    <row r="188" spans="2:62" s="86" customFormat="1" ht="48" x14ac:dyDescent="0.25">
      <c r="B188" s="377"/>
      <c r="C188" s="362"/>
      <c r="D188" s="374"/>
      <c r="E188" s="374"/>
      <c r="F188" s="362"/>
      <c r="G188" s="362"/>
      <c r="H188" s="374"/>
      <c r="I188" s="380"/>
      <c r="J188" s="380"/>
      <c r="K188" s="121" t="s">
        <v>1135</v>
      </c>
      <c r="L188" s="80"/>
      <c r="M188" s="365"/>
      <c r="N188" s="362"/>
      <c r="O188" s="362"/>
      <c r="P188" s="365"/>
      <c r="Q188" s="371"/>
      <c r="R188" s="374"/>
      <c r="S188" s="374"/>
      <c r="T188" s="102"/>
      <c r="U188" s="106">
        <f t="shared" ref="U188:U190" si="507">IF(T188="Asignado",15,0)</f>
        <v>0</v>
      </c>
      <c r="V188" s="102"/>
      <c r="W188" s="106">
        <f t="shared" ref="W188:W190" si="508">IF(V188="Adecuado",15,0)</f>
        <v>0</v>
      </c>
      <c r="X188" s="102"/>
      <c r="Y188" s="106">
        <f t="shared" ref="Y188:Y190" si="509">IF(X188="Oportuna",15,0)</f>
        <v>0</v>
      </c>
      <c r="Z188" s="102"/>
      <c r="AA188" s="106">
        <f t="shared" ref="AA188:AA190" si="510">IF(Z188="Prevenir",15,IF(Z188="Detectar",10,0))</f>
        <v>0</v>
      </c>
      <c r="AB188" s="102"/>
      <c r="AC188" s="106">
        <f t="shared" ref="AC188:AC190" si="511">IF(AB188="Confiable",15,0)</f>
        <v>0</v>
      </c>
      <c r="AD188" s="102"/>
      <c r="AE188" s="106">
        <f t="shared" ref="AE188:AE190" si="512">IF(AD188="Se investigan y resuelven oportunamente",15,0)</f>
        <v>0</v>
      </c>
      <c r="AF188" s="102"/>
      <c r="AG188" s="106">
        <f t="shared" ref="AG188:AG190" si="513">IF(AF188="Completa",10,IF(AF188="incompleta",5,0))</f>
        <v>0</v>
      </c>
      <c r="AH188" s="105">
        <f t="shared" si="506"/>
        <v>0</v>
      </c>
      <c r="AI188" s="105" t="str">
        <f>IF(AH188&gt;=96,"Fuerte",IF(AH188&gt;=86,"Moderado",IF(AH188&gt;=1,"Débil","")))</f>
        <v/>
      </c>
      <c r="AJ188" s="107"/>
      <c r="AK188" s="105" t="str">
        <f t="shared" ref="AK188:AK190" si="514">IF(AJ188="Siempre se ejecuta","Fuerte",IF(AJ188="Algunas veces","Moderado",IF(AJ188="no se ejecuta","Débil","")))</f>
        <v/>
      </c>
      <c r="AL188" s="105" t="str">
        <f t="shared" ref="AL188:AL190" si="515">AI188&amp;AK188</f>
        <v/>
      </c>
      <c r="AM188" s="105" t="str">
        <f>IFERROR(VLOOKUP(AL188,FORMULAS!$B$69:$D$77,3,FALSE),"")</f>
        <v/>
      </c>
      <c r="AN188" s="105" t="str">
        <f t="shared" ref="AN188:AN190" si="516">IF(AM188="fuerte",100,IF(AM188="Moderado",50,IF(AM188="débil",0,"")))</f>
        <v/>
      </c>
      <c r="AO188" s="105" t="str">
        <f>IFERROR(VLOOKUP(AL188,FORMULAS!$B$69:$C$77,2,FALSE),"")</f>
        <v/>
      </c>
      <c r="AP188" s="359"/>
      <c r="AQ188" s="359"/>
      <c r="AR188" s="356"/>
      <c r="AS188" s="356"/>
      <c r="AT188" s="359"/>
      <c r="AU188" s="359"/>
      <c r="AV188" s="359"/>
      <c r="AW188" s="362"/>
      <c r="AX188" s="362"/>
      <c r="AY188" s="365"/>
      <c r="AZ188" s="368"/>
      <c r="BA188" s="371"/>
      <c r="BB188" s="152" t="s">
        <v>1140</v>
      </c>
      <c r="BC188" s="84" t="s">
        <v>1141</v>
      </c>
      <c r="BD188" s="84" t="s">
        <v>1139</v>
      </c>
      <c r="BE188" s="83" t="s">
        <v>334</v>
      </c>
      <c r="BF188" s="269"/>
      <c r="BG188" s="389"/>
      <c r="BH188" s="389"/>
      <c r="BI188" s="389"/>
      <c r="BJ188" s="391"/>
    </row>
    <row r="189" spans="2:62" s="86" customFormat="1" ht="48" x14ac:dyDescent="0.25">
      <c r="B189" s="377"/>
      <c r="C189" s="362"/>
      <c r="D189" s="374"/>
      <c r="E189" s="374"/>
      <c r="F189" s="362"/>
      <c r="G189" s="362"/>
      <c r="H189" s="374"/>
      <c r="I189" s="380"/>
      <c r="J189" s="380"/>
      <c r="K189" s="121" t="s">
        <v>1136</v>
      </c>
      <c r="L189" s="80"/>
      <c r="M189" s="365"/>
      <c r="N189" s="362"/>
      <c r="O189" s="362"/>
      <c r="P189" s="365"/>
      <c r="Q189" s="371"/>
      <c r="R189" s="374"/>
      <c r="S189" s="374"/>
      <c r="T189" s="102"/>
      <c r="U189" s="106">
        <f t="shared" si="507"/>
        <v>0</v>
      </c>
      <c r="V189" s="102"/>
      <c r="W189" s="106">
        <f t="shared" si="508"/>
        <v>0</v>
      </c>
      <c r="X189" s="102"/>
      <c r="Y189" s="106">
        <f t="shared" si="509"/>
        <v>0</v>
      </c>
      <c r="Z189" s="102"/>
      <c r="AA189" s="106">
        <f t="shared" si="510"/>
        <v>0</v>
      </c>
      <c r="AB189" s="102"/>
      <c r="AC189" s="106">
        <f t="shared" si="511"/>
        <v>0</v>
      </c>
      <c r="AD189" s="102"/>
      <c r="AE189" s="106">
        <f t="shared" si="512"/>
        <v>0</v>
      </c>
      <c r="AF189" s="102"/>
      <c r="AG189" s="106">
        <f t="shared" si="513"/>
        <v>0</v>
      </c>
      <c r="AH189" s="105">
        <f t="shared" si="506"/>
        <v>0</v>
      </c>
      <c r="AI189" s="105" t="str">
        <f t="shared" ref="AI189:AI190" si="517">IF(AH189&gt;=96,"Fuerte",IF(AH189&gt;=86,"Moderado",IF(AH189&gt;=1,"Débil","")))</f>
        <v/>
      </c>
      <c r="AJ189" s="107"/>
      <c r="AK189" s="105" t="str">
        <f t="shared" si="514"/>
        <v/>
      </c>
      <c r="AL189" s="105" t="str">
        <f t="shared" si="515"/>
        <v/>
      </c>
      <c r="AM189" s="105" t="str">
        <f>IFERROR(VLOOKUP(AL189,FORMULAS!$B$69:$D$77,3,FALSE),"")</f>
        <v/>
      </c>
      <c r="AN189" s="105" t="str">
        <f t="shared" si="516"/>
        <v/>
      </c>
      <c r="AO189" s="105" t="str">
        <f>IFERROR(VLOOKUP(AL189,FORMULAS!$B$69:$C$77,2,FALSE),"")</f>
        <v/>
      </c>
      <c r="AP189" s="359"/>
      <c r="AQ189" s="359"/>
      <c r="AR189" s="356"/>
      <c r="AS189" s="356"/>
      <c r="AT189" s="359"/>
      <c r="AU189" s="359"/>
      <c r="AV189" s="359"/>
      <c r="AW189" s="362"/>
      <c r="AX189" s="362"/>
      <c r="AY189" s="365"/>
      <c r="AZ189" s="368"/>
      <c r="BA189" s="371"/>
      <c r="BB189" s="152" t="s">
        <v>1142</v>
      </c>
      <c r="BC189" s="84" t="s">
        <v>1143</v>
      </c>
      <c r="BD189" s="84" t="s">
        <v>1144</v>
      </c>
      <c r="BE189" s="83" t="s">
        <v>334</v>
      </c>
      <c r="BF189" s="269"/>
      <c r="BG189" s="389"/>
      <c r="BH189" s="389"/>
      <c r="BI189" s="389"/>
      <c r="BJ189" s="391"/>
    </row>
    <row r="190" spans="2:62" s="86" customFormat="1" ht="20.100000000000001" customHeight="1" thickBot="1" x14ac:dyDescent="0.3">
      <c r="B190" s="378"/>
      <c r="C190" s="363"/>
      <c r="D190" s="375"/>
      <c r="E190" s="375"/>
      <c r="F190" s="363"/>
      <c r="G190" s="363"/>
      <c r="H190" s="375"/>
      <c r="I190" s="381"/>
      <c r="J190" s="381"/>
      <c r="K190" s="124"/>
      <c r="L190" s="124"/>
      <c r="M190" s="366"/>
      <c r="N190" s="363"/>
      <c r="O190" s="363"/>
      <c r="P190" s="366"/>
      <c r="Q190" s="372"/>
      <c r="R190" s="375"/>
      <c r="S190" s="375"/>
      <c r="T190" s="125"/>
      <c r="U190" s="126">
        <f t="shared" si="507"/>
        <v>0</v>
      </c>
      <c r="V190" s="125"/>
      <c r="W190" s="126">
        <f t="shared" si="508"/>
        <v>0</v>
      </c>
      <c r="X190" s="125"/>
      <c r="Y190" s="126">
        <f t="shared" si="509"/>
        <v>0</v>
      </c>
      <c r="Z190" s="125"/>
      <c r="AA190" s="126">
        <f t="shared" si="510"/>
        <v>0</v>
      </c>
      <c r="AB190" s="125"/>
      <c r="AC190" s="126">
        <f t="shared" si="511"/>
        <v>0</v>
      </c>
      <c r="AD190" s="125"/>
      <c r="AE190" s="126">
        <f t="shared" si="512"/>
        <v>0</v>
      </c>
      <c r="AF190" s="125"/>
      <c r="AG190" s="126">
        <f t="shared" si="513"/>
        <v>0</v>
      </c>
      <c r="AH190" s="129">
        <f t="shared" si="506"/>
        <v>0</v>
      </c>
      <c r="AI190" s="129" t="str">
        <f t="shared" si="517"/>
        <v/>
      </c>
      <c r="AJ190" s="130"/>
      <c r="AK190" s="129" t="str">
        <f t="shared" si="514"/>
        <v/>
      </c>
      <c r="AL190" s="129" t="str">
        <f t="shared" si="515"/>
        <v/>
      </c>
      <c r="AM190" s="129" t="str">
        <f>IFERROR(VLOOKUP(AL190,FORMULAS!$B$69:$D$77,3,FALSE),"")</f>
        <v/>
      </c>
      <c r="AN190" s="129" t="str">
        <f t="shared" si="516"/>
        <v/>
      </c>
      <c r="AO190" s="129" t="str">
        <f>IFERROR(VLOOKUP(AL190,FORMULAS!$B$69:$C$77,2,FALSE),"")</f>
        <v/>
      </c>
      <c r="AP190" s="360"/>
      <c r="AQ190" s="360"/>
      <c r="AR190" s="357"/>
      <c r="AS190" s="357"/>
      <c r="AT190" s="360"/>
      <c r="AU190" s="360"/>
      <c r="AV190" s="360"/>
      <c r="AW190" s="363"/>
      <c r="AX190" s="363"/>
      <c r="AY190" s="366"/>
      <c r="AZ190" s="369"/>
      <c r="BA190" s="372"/>
      <c r="BB190" s="131"/>
      <c r="BC190" s="132"/>
      <c r="BD190" s="132"/>
      <c r="BE190" s="161"/>
      <c r="BF190" s="325"/>
      <c r="BG190" s="396"/>
      <c r="BH190" s="396"/>
      <c r="BI190" s="396"/>
      <c r="BJ190" s="397"/>
    </row>
    <row r="191" spans="2:62" s="86" customFormat="1" ht="48" x14ac:dyDescent="0.25">
      <c r="B191" s="376" t="s">
        <v>75</v>
      </c>
      <c r="C191" s="361">
        <v>52</v>
      </c>
      <c r="D191" s="373" t="s">
        <v>1146</v>
      </c>
      <c r="E191" s="373"/>
      <c r="F191" s="361" t="s">
        <v>89</v>
      </c>
      <c r="G191" s="361"/>
      <c r="H191" s="373" t="s">
        <v>329</v>
      </c>
      <c r="I191" s="379"/>
      <c r="J191" s="379"/>
      <c r="K191" s="164" t="s">
        <v>1147</v>
      </c>
      <c r="L191" s="199"/>
      <c r="M191" s="364" t="str">
        <f>IF(F191="gestion","impacto",IF(F191="corrupcion","impactocorrupcion",IF(F191="seguridad_de_la_informacion","impacto","")))</f>
        <v>impacto</v>
      </c>
      <c r="N191" s="361"/>
      <c r="O191" s="361"/>
      <c r="P191" s="364" t="str">
        <f>N191&amp;O191</f>
        <v/>
      </c>
      <c r="Q191" s="370" t="str">
        <f>IFERROR(VLOOKUP(P191,FORMULAS!$B$37:$C$61,2,FALSE),"")</f>
        <v/>
      </c>
      <c r="R191" s="373"/>
      <c r="S191" s="373"/>
      <c r="T191" s="112"/>
      <c r="U191" s="113">
        <f>IF(T191="Asignado",15,0)</f>
        <v>0</v>
      </c>
      <c r="V191" s="112"/>
      <c r="W191" s="113">
        <f>IF(V191="Adecuado",15,0)</f>
        <v>0</v>
      </c>
      <c r="X191" s="112"/>
      <c r="Y191" s="113">
        <f>IF(X191="Oportuna",15,0)</f>
        <v>0</v>
      </c>
      <c r="Z191" s="112"/>
      <c r="AA191" s="113">
        <f>IF(Z191="Prevenir",15,IF(Z191="Detectar",10,0))</f>
        <v>0</v>
      </c>
      <c r="AB191" s="112"/>
      <c r="AC191" s="113">
        <f>IF(AB191="Confiable",15,0)</f>
        <v>0</v>
      </c>
      <c r="AD191" s="112"/>
      <c r="AE191" s="113">
        <f>IF(AD191="Se investigan y resuelven oportunamente",15,0)</f>
        <v>0</v>
      </c>
      <c r="AF191" s="112"/>
      <c r="AG191" s="113">
        <f>IF(AF191="Completa",10,IF(AF191="incompleta",5,0))</f>
        <v>0</v>
      </c>
      <c r="AH191" s="116">
        <f t="shared" si="506"/>
        <v>0</v>
      </c>
      <c r="AI191" s="116" t="str">
        <f>IF(AH191&gt;=96,"Fuerte",IF(AH191&gt;=86,"Moderado",IF(AH191&gt;=1,"Débil","")))</f>
        <v/>
      </c>
      <c r="AJ191" s="117"/>
      <c r="AK191" s="116" t="str">
        <f>IF(AJ191="Siempre se ejecuta","Fuerte",IF(AJ191="Algunas veces","Moderado",IF(AJ191="no se ejecuta","Débil","")))</f>
        <v/>
      </c>
      <c r="AL191" s="116" t="str">
        <f>AI191&amp;AK191</f>
        <v/>
      </c>
      <c r="AM191" s="116" t="str">
        <f>IFERROR(VLOOKUP(AL191,FORMULAS!$B$69:$D$77,3,FALSE),"")</f>
        <v/>
      </c>
      <c r="AN191" s="116" t="str">
        <f>IF(AM191="fuerte",100,IF(AM191="Moderado",50,IF(AM191="débil",0,"")))</f>
        <v/>
      </c>
      <c r="AO191" s="116" t="str">
        <f>IFERROR(VLOOKUP(AL191,FORMULAS!$B$69:$D$77,2,FALSE),"")</f>
        <v/>
      </c>
      <c r="AP191" s="358">
        <f>IFERROR(AVERAGE(AN191:AN194),0)</f>
        <v>0</v>
      </c>
      <c r="AQ191" s="358" t="str">
        <f>IF(AP191&gt;=100,"Fuerte",IF(AP191&gt;=50,"Moderado",IF(AP191&gt;=1,"Débil","")))</f>
        <v/>
      </c>
      <c r="AR191" s="355"/>
      <c r="AS191" s="355"/>
      <c r="AT191" s="358" t="str">
        <f>+AQ191&amp;AR191&amp;AS191</f>
        <v/>
      </c>
      <c r="AU191" s="358">
        <f>IFERROR(VLOOKUP(AT191,FORMULAS!$B$94:$D$101,2,FALSE),0)</f>
        <v>0</v>
      </c>
      <c r="AV191" s="358">
        <f>IFERROR(VLOOKUP(AT191,FORMULAS!$B$94:$D$101,3,FALSE),0)</f>
        <v>0</v>
      </c>
      <c r="AW191" s="361" t="s">
        <v>18</v>
      </c>
      <c r="AX191" s="361" t="s">
        <v>23</v>
      </c>
      <c r="AY191" s="364" t="str">
        <f>AW191&amp;AX191</f>
        <v>PosibleModerado</v>
      </c>
      <c r="AZ191" s="367" t="str">
        <f>IFERROR(VLOOKUP(AY191,FORMULAS!$B$37:$C$61,2,FALSE),"")</f>
        <v>Riesgo alto</v>
      </c>
      <c r="BA191" s="370" t="s">
        <v>166</v>
      </c>
      <c r="BB191" s="153" t="s">
        <v>1149</v>
      </c>
      <c r="BC191" s="119" t="s">
        <v>1150</v>
      </c>
      <c r="BD191" s="119" t="s">
        <v>1144</v>
      </c>
      <c r="BE191" s="160" t="s">
        <v>334</v>
      </c>
      <c r="BF191" s="324"/>
      <c r="BG191" s="388" t="s">
        <v>366</v>
      </c>
      <c r="BH191" s="388" t="s">
        <v>367</v>
      </c>
      <c r="BI191" s="388" t="s">
        <v>1145</v>
      </c>
      <c r="BJ191" s="390" t="s">
        <v>369</v>
      </c>
    </row>
    <row r="192" spans="2:62" s="86" customFormat="1" ht="12" x14ac:dyDescent="0.25">
      <c r="B192" s="377"/>
      <c r="C192" s="362"/>
      <c r="D192" s="374"/>
      <c r="E192" s="374"/>
      <c r="F192" s="362"/>
      <c r="G192" s="362"/>
      <c r="H192" s="374"/>
      <c r="I192" s="380"/>
      <c r="J192" s="380"/>
      <c r="K192" s="382" t="s">
        <v>1148</v>
      </c>
      <c r="L192" s="80"/>
      <c r="M192" s="365"/>
      <c r="N192" s="362"/>
      <c r="O192" s="362"/>
      <c r="P192" s="365"/>
      <c r="Q192" s="371"/>
      <c r="R192" s="374"/>
      <c r="S192" s="374"/>
      <c r="T192" s="102"/>
      <c r="U192" s="106">
        <f t="shared" ref="U192:U194" si="518">IF(T192="Asignado",15,0)</f>
        <v>0</v>
      </c>
      <c r="V192" s="102"/>
      <c r="W192" s="106">
        <f t="shared" ref="W192:W194" si="519">IF(V192="Adecuado",15,0)</f>
        <v>0</v>
      </c>
      <c r="X192" s="102"/>
      <c r="Y192" s="106">
        <f t="shared" ref="Y192:Y194" si="520">IF(X192="Oportuna",15,0)</f>
        <v>0</v>
      </c>
      <c r="Z192" s="102"/>
      <c r="AA192" s="106">
        <f t="shared" ref="AA192:AA194" si="521">IF(Z192="Prevenir",15,IF(Z192="Detectar",10,0))</f>
        <v>0</v>
      </c>
      <c r="AB192" s="102"/>
      <c r="AC192" s="106">
        <f t="shared" ref="AC192:AC194" si="522">IF(AB192="Confiable",15,0)</f>
        <v>0</v>
      </c>
      <c r="AD192" s="102"/>
      <c r="AE192" s="106">
        <f t="shared" ref="AE192:AE194" si="523">IF(AD192="Se investigan y resuelven oportunamente",15,0)</f>
        <v>0</v>
      </c>
      <c r="AF192" s="102"/>
      <c r="AG192" s="106">
        <f t="shared" ref="AG192:AG194" si="524">IF(AF192="Completa",10,IF(AF192="incompleta",5,0))</f>
        <v>0</v>
      </c>
      <c r="AH192" s="105">
        <f t="shared" si="506"/>
        <v>0</v>
      </c>
      <c r="AI192" s="105" t="str">
        <f>IF(AH192&gt;=96,"Fuerte",IF(AH192&gt;=86,"Moderado",IF(AH192&gt;=1,"Débil","")))</f>
        <v/>
      </c>
      <c r="AJ192" s="107"/>
      <c r="AK192" s="105" t="str">
        <f t="shared" ref="AK192:AK194" si="525">IF(AJ192="Siempre se ejecuta","Fuerte",IF(AJ192="Algunas veces","Moderado",IF(AJ192="no se ejecuta","Débil","")))</f>
        <v/>
      </c>
      <c r="AL192" s="105" t="str">
        <f t="shared" ref="AL192:AL194" si="526">AI192&amp;AK192</f>
        <v/>
      </c>
      <c r="AM192" s="105" t="str">
        <f>IFERROR(VLOOKUP(AL192,FORMULAS!$B$69:$D$77,3,FALSE),"")</f>
        <v/>
      </c>
      <c r="AN192" s="105" t="str">
        <f t="shared" ref="AN192:AN194" si="527">IF(AM192="fuerte",100,IF(AM192="Moderado",50,IF(AM192="débil",0,"")))</f>
        <v/>
      </c>
      <c r="AO192" s="105" t="str">
        <f>IFERROR(VLOOKUP(AL192,FORMULAS!$B$69:$C$77,2,FALSE),"")</f>
        <v/>
      </c>
      <c r="AP192" s="359"/>
      <c r="AQ192" s="359"/>
      <c r="AR192" s="356"/>
      <c r="AS192" s="356"/>
      <c r="AT192" s="359"/>
      <c r="AU192" s="359"/>
      <c r="AV192" s="359"/>
      <c r="AW192" s="362"/>
      <c r="AX192" s="362"/>
      <c r="AY192" s="365"/>
      <c r="AZ192" s="368"/>
      <c r="BA192" s="371"/>
      <c r="BB192" s="384" t="s">
        <v>1149</v>
      </c>
      <c r="BC192" s="384" t="s">
        <v>1150</v>
      </c>
      <c r="BD192" s="384" t="s">
        <v>1144</v>
      </c>
      <c r="BE192" s="386" t="s">
        <v>334</v>
      </c>
      <c r="BF192" s="269"/>
      <c r="BG192" s="389"/>
      <c r="BH192" s="389"/>
      <c r="BI192" s="389"/>
      <c r="BJ192" s="391"/>
    </row>
    <row r="193" spans="2:62" s="86" customFormat="1" ht="12" x14ac:dyDescent="0.25">
      <c r="B193" s="377"/>
      <c r="C193" s="362"/>
      <c r="D193" s="374"/>
      <c r="E193" s="374"/>
      <c r="F193" s="362"/>
      <c r="G193" s="362"/>
      <c r="H193" s="374"/>
      <c r="I193" s="380"/>
      <c r="J193" s="380"/>
      <c r="K193" s="383"/>
      <c r="L193" s="80"/>
      <c r="M193" s="365"/>
      <c r="N193" s="362"/>
      <c r="O193" s="362"/>
      <c r="P193" s="365"/>
      <c r="Q193" s="371"/>
      <c r="R193" s="374"/>
      <c r="S193" s="374"/>
      <c r="T193" s="102"/>
      <c r="U193" s="106">
        <f t="shared" si="518"/>
        <v>0</v>
      </c>
      <c r="V193" s="102"/>
      <c r="W193" s="106">
        <f t="shared" si="519"/>
        <v>0</v>
      </c>
      <c r="X193" s="102"/>
      <c r="Y193" s="106">
        <f t="shared" si="520"/>
        <v>0</v>
      </c>
      <c r="Z193" s="102"/>
      <c r="AA193" s="106">
        <f t="shared" si="521"/>
        <v>0</v>
      </c>
      <c r="AB193" s="102"/>
      <c r="AC193" s="106">
        <f t="shared" si="522"/>
        <v>0</v>
      </c>
      <c r="AD193" s="102"/>
      <c r="AE193" s="106">
        <f t="shared" si="523"/>
        <v>0</v>
      </c>
      <c r="AF193" s="102"/>
      <c r="AG193" s="106">
        <f t="shared" si="524"/>
        <v>0</v>
      </c>
      <c r="AH193" s="105">
        <f t="shared" si="506"/>
        <v>0</v>
      </c>
      <c r="AI193" s="105" t="str">
        <f t="shared" ref="AI193:AI194" si="528">IF(AH193&gt;=96,"Fuerte",IF(AH193&gt;=86,"Moderado",IF(AH193&gt;=1,"Débil","")))</f>
        <v/>
      </c>
      <c r="AJ193" s="107"/>
      <c r="AK193" s="105" t="str">
        <f t="shared" si="525"/>
        <v/>
      </c>
      <c r="AL193" s="105" t="str">
        <f t="shared" si="526"/>
        <v/>
      </c>
      <c r="AM193" s="105" t="str">
        <f>IFERROR(VLOOKUP(AL193,FORMULAS!$B$69:$D$77,3,FALSE),"")</f>
        <v/>
      </c>
      <c r="AN193" s="105" t="str">
        <f t="shared" si="527"/>
        <v/>
      </c>
      <c r="AO193" s="105" t="str">
        <f>IFERROR(VLOOKUP(AL193,FORMULAS!$B$69:$C$77,2,FALSE),"")</f>
        <v/>
      </c>
      <c r="AP193" s="359"/>
      <c r="AQ193" s="359"/>
      <c r="AR193" s="356"/>
      <c r="AS193" s="356"/>
      <c r="AT193" s="359"/>
      <c r="AU193" s="359"/>
      <c r="AV193" s="359"/>
      <c r="AW193" s="362"/>
      <c r="AX193" s="362"/>
      <c r="AY193" s="365"/>
      <c r="AZ193" s="368"/>
      <c r="BA193" s="371"/>
      <c r="BB193" s="385"/>
      <c r="BC193" s="385"/>
      <c r="BD193" s="385"/>
      <c r="BE193" s="387"/>
      <c r="BF193" s="269"/>
      <c r="BG193" s="389"/>
      <c r="BH193" s="389"/>
      <c r="BI193" s="389"/>
      <c r="BJ193" s="391"/>
    </row>
    <row r="194" spans="2:62" s="86" customFormat="1" ht="20.100000000000001" customHeight="1" thickBot="1" x14ac:dyDescent="0.3">
      <c r="B194" s="378"/>
      <c r="C194" s="363"/>
      <c r="D194" s="375"/>
      <c r="E194" s="375"/>
      <c r="F194" s="363"/>
      <c r="G194" s="363"/>
      <c r="H194" s="375"/>
      <c r="I194" s="381"/>
      <c r="J194" s="381"/>
      <c r="K194" s="124"/>
      <c r="L194" s="124"/>
      <c r="M194" s="366"/>
      <c r="N194" s="363"/>
      <c r="O194" s="363"/>
      <c r="P194" s="366"/>
      <c r="Q194" s="372"/>
      <c r="R194" s="375"/>
      <c r="S194" s="375"/>
      <c r="T194" s="125"/>
      <c r="U194" s="126">
        <f t="shared" si="518"/>
        <v>0</v>
      </c>
      <c r="V194" s="125"/>
      <c r="W194" s="126">
        <f t="shared" si="519"/>
        <v>0</v>
      </c>
      <c r="X194" s="125"/>
      <c r="Y194" s="126">
        <f t="shared" si="520"/>
        <v>0</v>
      </c>
      <c r="Z194" s="125"/>
      <c r="AA194" s="126">
        <f t="shared" si="521"/>
        <v>0</v>
      </c>
      <c r="AB194" s="125"/>
      <c r="AC194" s="126">
        <f t="shared" si="522"/>
        <v>0</v>
      </c>
      <c r="AD194" s="125"/>
      <c r="AE194" s="126">
        <f t="shared" si="523"/>
        <v>0</v>
      </c>
      <c r="AF194" s="125"/>
      <c r="AG194" s="126">
        <f t="shared" si="524"/>
        <v>0</v>
      </c>
      <c r="AH194" s="129">
        <f t="shared" si="506"/>
        <v>0</v>
      </c>
      <c r="AI194" s="129" t="str">
        <f t="shared" si="528"/>
        <v/>
      </c>
      <c r="AJ194" s="130"/>
      <c r="AK194" s="129" t="str">
        <f t="shared" si="525"/>
        <v/>
      </c>
      <c r="AL194" s="129" t="str">
        <f t="shared" si="526"/>
        <v/>
      </c>
      <c r="AM194" s="129" t="str">
        <f>IFERROR(VLOOKUP(AL194,FORMULAS!$B$69:$D$77,3,FALSE),"")</f>
        <v/>
      </c>
      <c r="AN194" s="129" t="str">
        <f t="shared" si="527"/>
        <v/>
      </c>
      <c r="AO194" s="129" t="str">
        <f>IFERROR(VLOOKUP(AL194,FORMULAS!$B$69:$C$77,2,FALSE),"")</f>
        <v/>
      </c>
      <c r="AP194" s="360"/>
      <c r="AQ194" s="360"/>
      <c r="AR194" s="357"/>
      <c r="AS194" s="357"/>
      <c r="AT194" s="360"/>
      <c r="AU194" s="360"/>
      <c r="AV194" s="360"/>
      <c r="AW194" s="363"/>
      <c r="AX194" s="363"/>
      <c r="AY194" s="366"/>
      <c r="AZ194" s="369"/>
      <c r="BA194" s="372"/>
      <c r="BB194" s="131"/>
      <c r="BC194" s="132"/>
      <c r="BD194" s="132"/>
      <c r="BE194" s="161"/>
      <c r="BF194" s="201"/>
      <c r="BG194" s="139"/>
      <c r="BH194" s="132"/>
      <c r="BI194" s="132"/>
      <c r="BJ194" s="156"/>
    </row>
    <row r="195" spans="2:62" s="86" customFormat="1" ht="20.100000000000001" customHeight="1" x14ac:dyDescent="0.25">
      <c r="B195" s="376" t="s">
        <v>75</v>
      </c>
      <c r="C195" s="361">
        <v>54</v>
      </c>
      <c r="D195" s="373" t="s">
        <v>1151</v>
      </c>
      <c r="E195" s="373" t="s">
        <v>1152</v>
      </c>
      <c r="F195" s="361" t="s">
        <v>91</v>
      </c>
      <c r="G195" s="361" t="s">
        <v>96</v>
      </c>
      <c r="H195" s="373" t="s">
        <v>329</v>
      </c>
      <c r="I195" s="379" t="s">
        <v>128</v>
      </c>
      <c r="J195" s="379" t="s">
        <v>115</v>
      </c>
      <c r="K195" s="352" t="s">
        <v>1153</v>
      </c>
      <c r="L195" s="339" t="s">
        <v>1154</v>
      </c>
      <c r="M195" s="364" t="str">
        <f>IF(F195="gestion","impacto",IF(F195="corrupcion","impactocorrupcion",IF(F195="seguridad_de_la_informacion","impacto","")))</f>
        <v>impacto</v>
      </c>
      <c r="N195" s="361" t="s">
        <v>18</v>
      </c>
      <c r="O195" s="361" t="s">
        <v>23</v>
      </c>
      <c r="P195" s="364" t="str">
        <f>N195&amp;O195</f>
        <v>PosibleModerado</v>
      </c>
      <c r="Q195" s="370" t="str">
        <f>IFERROR(VLOOKUP(P195,[19]FORMULAS!$B$37:$C$61,2,FALSE),"")</f>
        <v>Riesgo alto</v>
      </c>
      <c r="R195" s="343" t="s">
        <v>1155</v>
      </c>
      <c r="S195" s="344"/>
      <c r="T195" s="339" t="s">
        <v>286</v>
      </c>
      <c r="U195" s="113">
        <f>IF(T195="Asignado",15,0)</f>
        <v>15</v>
      </c>
      <c r="V195" s="339" t="s">
        <v>287</v>
      </c>
      <c r="W195" s="113">
        <f>IF(V195="Adecuado",15,0)</f>
        <v>15</v>
      </c>
      <c r="X195" s="339" t="s">
        <v>288</v>
      </c>
      <c r="Y195" s="113">
        <f>IF(X195="Oportuna",15,0)</f>
        <v>15</v>
      </c>
      <c r="Z195" s="339" t="s">
        <v>291</v>
      </c>
      <c r="AA195" s="113">
        <f>IF(Z195="Prevenir",15,IF(Z195="Detectar",10,0))</f>
        <v>15</v>
      </c>
      <c r="AB195" s="339" t="s">
        <v>290</v>
      </c>
      <c r="AC195" s="113">
        <f>IF(AB195="Confiable",15,0)</f>
        <v>15</v>
      </c>
      <c r="AD195" s="339" t="s">
        <v>292</v>
      </c>
      <c r="AE195" s="113">
        <f>IF(AD195="Se investigan y resuelven oportunamente",15,0)</f>
        <v>15</v>
      </c>
      <c r="AF195" s="339" t="s">
        <v>289</v>
      </c>
      <c r="AG195" s="113">
        <f>IF(AF195="Completa",10,IF(AF195="incompleta",5,0))</f>
        <v>10</v>
      </c>
      <c r="AH195" s="399">
        <f t="shared" si="506"/>
        <v>100</v>
      </c>
      <c r="AI195" s="399" t="str">
        <f>IF(AH195&gt;=96,"Fuerte",IF(AH195&gt;=86,"Moderado",IF(AH195&gt;=1,"Débil","")))</f>
        <v>Fuerte</v>
      </c>
      <c r="AJ195" s="402">
        <f>+AJ194</f>
        <v>0</v>
      </c>
      <c r="AK195" s="399" t="str">
        <f>IF(AJ195="Siempre se ejecuta","Fuerte",IF(AJ195="Algunas veces","Moderado",IF(AJ195="no se ejecuta","Débil","")))</f>
        <v/>
      </c>
      <c r="AL195" s="116" t="str">
        <f>AI195&amp;AK195</f>
        <v>Fuerte</v>
      </c>
      <c r="AM195" s="399" t="str">
        <f>IFERROR(VLOOKUP(AL195,[19]FORMULAS!$B$69:$D$77,3,FALSE),"")</f>
        <v/>
      </c>
      <c r="AN195" s="399" t="str">
        <f>IF(AM195="fuerte",100,IF(AM195="Moderado",50,IF(AM195="débil",0,"")))</f>
        <v/>
      </c>
      <c r="AO195" s="399" t="str">
        <f>IFERROR(VLOOKUP(AL195,[19]FORMULAS!$B$69:$D$77,2,FALSE),"")</f>
        <v/>
      </c>
      <c r="AP195" s="358">
        <f>IFERROR(AVERAGE(AN195:AN198),0)</f>
        <v>0</v>
      </c>
      <c r="AQ195" s="358" t="str">
        <f>IF(AP195&gt;=100,"Fuerte",IF(AP195&gt;=50,"Moderado",IF(AP195&gt;=1,"Débil","")))</f>
        <v/>
      </c>
      <c r="AR195" s="355" t="s">
        <v>160</v>
      </c>
      <c r="AS195" s="355" t="s">
        <v>160</v>
      </c>
      <c r="AT195" s="358" t="str">
        <f>+AQ195&amp;AR195&amp;AS195</f>
        <v>DirectamenteDirectamente</v>
      </c>
      <c r="AU195" s="358">
        <v>1</v>
      </c>
      <c r="AV195" s="358">
        <v>1</v>
      </c>
      <c r="AW195" s="361" t="s">
        <v>134</v>
      </c>
      <c r="AX195" s="361" t="s">
        <v>21</v>
      </c>
      <c r="AY195" s="364" t="str">
        <f>AW195&amp;AX195</f>
        <v>Rara vezInsignificante</v>
      </c>
      <c r="AZ195" s="367" t="str">
        <f>IFERROR(VLOOKUP(AY195,[19]FORMULAS!$B$37:$C$61,2,FALSE),"")</f>
        <v>Riesgo bajo</v>
      </c>
      <c r="BA195" s="370">
        <f>+BA192</f>
        <v>0</v>
      </c>
      <c r="BB195" s="153"/>
      <c r="BC195" s="200"/>
      <c r="BD195" s="200"/>
      <c r="BE195" s="160"/>
      <c r="BF195" s="326"/>
      <c r="BG195" s="119"/>
      <c r="BH195" s="119"/>
      <c r="BI195" s="119"/>
      <c r="BJ195" s="303"/>
    </row>
    <row r="196" spans="2:62" s="86" customFormat="1" ht="20.100000000000001" customHeight="1" x14ac:dyDescent="0.25">
      <c r="B196" s="377"/>
      <c r="C196" s="362"/>
      <c r="D196" s="374"/>
      <c r="E196" s="374"/>
      <c r="F196" s="362"/>
      <c r="G196" s="362"/>
      <c r="H196" s="374"/>
      <c r="I196" s="380"/>
      <c r="J196" s="380"/>
      <c r="K196" s="353"/>
      <c r="L196" s="341"/>
      <c r="M196" s="365"/>
      <c r="N196" s="362"/>
      <c r="O196" s="362"/>
      <c r="P196" s="365"/>
      <c r="Q196" s="371"/>
      <c r="R196" s="345"/>
      <c r="S196" s="346"/>
      <c r="T196" s="341"/>
      <c r="U196" s="106">
        <f t="shared" ref="U196:U198" si="529">IF(T196="Asignado",15,0)</f>
        <v>0</v>
      </c>
      <c r="V196" s="341"/>
      <c r="W196" s="106">
        <f t="shared" ref="W196:W198" si="530">IF(V196="Adecuado",15,0)</f>
        <v>0</v>
      </c>
      <c r="X196" s="341"/>
      <c r="Y196" s="106">
        <f t="shared" ref="Y196:Y198" si="531">IF(X196="Oportuna",15,0)</f>
        <v>0</v>
      </c>
      <c r="Z196" s="341"/>
      <c r="AA196" s="106">
        <f t="shared" ref="AA196:AA198" si="532">IF(Z196="Prevenir",15,IF(Z196="Detectar",10,0))</f>
        <v>0</v>
      </c>
      <c r="AB196" s="341"/>
      <c r="AC196" s="106">
        <f t="shared" ref="AC196:AC198" si="533">IF(AB196="Confiable",15,0)</f>
        <v>0</v>
      </c>
      <c r="AD196" s="341"/>
      <c r="AE196" s="106">
        <f t="shared" ref="AE196:AE198" si="534">IF(AD196="Se investigan y resuelven oportunamente",15,0)</f>
        <v>0</v>
      </c>
      <c r="AF196" s="341"/>
      <c r="AG196" s="106">
        <f t="shared" ref="AG196:AG198" si="535">IF(AF196="Completa",10,IF(AF196="incompleta",5,0))</f>
        <v>0</v>
      </c>
      <c r="AH196" s="400"/>
      <c r="AI196" s="400"/>
      <c r="AJ196" s="403"/>
      <c r="AK196" s="400"/>
      <c r="AL196" s="105" t="str">
        <f t="shared" ref="AL196:AL198" si="536">AI196&amp;AK196</f>
        <v/>
      </c>
      <c r="AM196" s="400"/>
      <c r="AN196" s="400"/>
      <c r="AO196" s="400"/>
      <c r="AP196" s="359"/>
      <c r="AQ196" s="359"/>
      <c r="AR196" s="356"/>
      <c r="AS196" s="356"/>
      <c r="AT196" s="359"/>
      <c r="AU196" s="359"/>
      <c r="AV196" s="359"/>
      <c r="AW196" s="362"/>
      <c r="AX196" s="362"/>
      <c r="AY196" s="365"/>
      <c r="AZ196" s="368"/>
      <c r="BA196" s="371"/>
      <c r="BB196" s="152"/>
      <c r="BC196" s="82"/>
      <c r="BD196" s="82"/>
      <c r="BE196" s="83"/>
      <c r="BF196" s="85"/>
      <c r="BG196" s="84"/>
      <c r="BH196" s="82"/>
      <c r="BI196" s="82"/>
      <c r="BJ196" s="155"/>
    </row>
    <row r="197" spans="2:62" s="86" customFormat="1" ht="20.100000000000001" customHeight="1" x14ac:dyDescent="0.25">
      <c r="B197" s="377"/>
      <c r="C197" s="362"/>
      <c r="D197" s="374"/>
      <c r="E197" s="374"/>
      <c r="F197" s="362"/>
      <c r="G197" s="362"/>
      <c r="H197" s="374"/>
      <c r="I197" s="380"/>
      <c r="J197" s="380"/>
      <c r="K197" s="353"/>
      <c r="L197" s="341"/>
      <c r="M197" s="365"/>
      <c r="N197" s="362"/>
      <c r="O197" s="362"/>
      <c r="P197" s="365"/>
      <c r="Q197" s="371"/>
      <c r="R197" s="345"/>
      <c r="S197" s="346"/>
      <c r="T197" s="341"/>
      <c r="U197" s="106">
        <f t="shared" si="529"/>
        <v>0</v>
      </c>
      <c r="V197" s="341"/>
      <c r="W197" s="106">
        <f t="shared" si="530"/>
        <v>0</v>
      </c>
      <c r="X197" s="341"/>
      <c r="Y197" s="106">
        <f t="shared" si="531"/>
        <v>0</v>
      </c>
      <c r="Z197" s="341"/>
      <c r="AA197" s="106">
        <f t="shared" si="532"/>
        <v>0</v>
      </c>
      <c r="AB197" s="341"/>
      <c r="AC197" s="106">
        <f t="shared" si="533"/>
        <v>0</v>
      </c>
      <c r="AD197" s="341"/>
      <c r="AE197" s="106">
        <f t="shared" si="534"/>
        <v>0</v>
      </c>
      <c r="AF197" s="341"/>
      <c r="AG197" s="106">
        <f t="shared" si="535"/>
        <v>0</v>
      </c>
      <c r="AH197" s="400"/>
      <c r="AI197" s="400"/>
      <c r="AJ197" s="403"/>
      <c r="AK197" s="400"/>
      <c r="AL197" s="105" t="str">
        <f t="shared" si="536"/>
        <v/>
      </c>
      <c r="AM197" s="400"/>
      <c r="AN197" s="400"/>
      <c r="AO197" s="400"/>
      <c r="AP197" s="359"/>
      <c r="AQ197" s="359"/>
      <c r="AR197" s="356"/>
      <c r="AS197" s="356"/>
      <c r="AT197" s="359"/>
      <c r="AU197" s="359"/>
      <c r="AV197" s="359"/>
      <c r="AW197" s="362"/>
      <c r="AX197" s="362"/>
      <c r="AY197" s="365"/>
      <c r="AZ197" s="368"/>
      <c r="BA197" s="371"/>
      <c r="BB197" s="152"/>
      <c r="BC197" s="82"/>
      <c r="BD197" s="82"/>
      <c r="BE197" s="83"/>
      <c r="BF197" s="85"/>
      <c r="BG197" s="84"/>
      <c r="BH197" s="82"/>
      <c r="BI197" s="82"/>
      <c r="BJ197" s="155"/>
    </row>
    <row r="198" spans="2:62" s="86" customFormat="1" ht="20.100000000000001" customHeight="1" thickBot="1" x14ac:dyDescent="0.3">
      <c r="B198" s="378"/>
      <c r="C198" s="363"/>
      <c r="D198" s="375"/>
      <c r="E198" s="375"/>
      <c r="F198" s="363"/>
      <c r="G198" s="363"/>
      <c r="H198" s="375"/>
      <c r="I198" s="381"/>
      <c r="J198" s="381"/>
      <c r="K198" s="354"/>
      <c r="L198" s="342"/>
      <c r="M198" s="366"/>
      <c r="N198" s="363"/>
      <c r="O198" s="363"/>
      <c r="P198" s="366"/>
      <c r="Q198" s="372"/>
      <c r="R198" s="347"/>
      <c r="S198" s="348"/>
      <c r="T198" s="342"/>
      <c r="U198" s="126">
        <f t="shared" si="529"/>
        <v>0</v>
      </c>
      <c r="V198" s="342"/>
      <c r="W198" s="126">
        <f t="shared" si="530"/>
        <v>0</v>
      </c>
      <c r="X198" s="342"/>
      <c r="Y198" s="126">
        <f t="shared" si="531"/>
        <v>0</v>
      </c>
      <c r="Z198" s="342"/>
      <c r="AA198" s="126">
        <f t="shared" si="532"/>
        <v>0</v>
      </c>
      <c r="AB198" s="342"/>
      <c r="AC198" s="126">
        <f t="shared" si="533"/>
        <v>0</v>
      </c>
      <c r="AD198" s="342"/>
      <c r="AE198" s="126">
        <f t="shared" si="534"/>
        <v>0</v>
      </c>
      <c r="AF198" s="342"/>
      <c r="AG198" s="126">
        <f t="shared" si="535"/>
        <v>0</v>
      </c>
      <c r="AH198" s="401"/>
      <c r="AI198" s="401"/>
      <c r="AJ198" s="404"/>
      <c r="AK198" s="401"/>
      <c r="AL198" s="129" t="str">
        <f t="shared" si="536"/>
        <v/>
      </c>
      <c r="AM198" s="401"/>
      <c r="AN198" s="401"/>
      <c r="AO198" s="401"/>
      <c r="AP198" s="360"/>
      <c r="AQ198" s="360"/>
      <c r="AR198" s="357"/>
      <c r="AS198" s="357"/>
      <c r="AT198" s="360"/>
      <c r="AU198" s="360"/>
      <c r="AV198" s="360"/>
      <c r="AW198" s="363"/>
      <c r="AX198" s="363"/>
      <c r="AY198" s="366"/>
      <c r="AZ198" s="369"/>
      <c r="BA198" s="372"/>
      <c r="BB198" s="131"/>
      <c r="BC198" s="132"/>
      <c r="BD198" s="132"/>
      <c r="BE198" s="161"/>
      <c r="BF198" s="290"/>
      <c r="BG198" s="139"/>
      <c r="BH198" s="132"/>
      <c r="BI198" s="132"/>
      <c r="BJ198" s="156"/>
    </row>
    <row r="199" spans="2:62" s="86" customFormat="1" ht="48" x14ac:dyDescent="0.25">
      <c r="B199" s="376" t="s">
        <v>75</v>
      </c>
      <c r="C199" s="361">
        <v>55</v>
      </c>
      <c r="D199" s="373" t="s">
        <v>1156</v>
      </c>
      <c r="E199" s="373" t="s">
        <v>1157</v>
      </c>
      <c r="F199" s="361" t="s">
        <v>89</v>
      </c>
      <c r="G199" s="361" t="s">
        <v>94</v>
      </c>
      <c r="H199" s="373" t="s">
        <v>329</v>
      </c>
      <c r="I199" s="379"/>
      <c r="J199" s="379"/>
      <c r="K199" s="109" t="s">
        <v>1158</v>
      </c>
      <c r="L199" s="339" t="s">
        <v>1159</v>
      </c>
      <c r="M199" s="364" t="str">
        <f>IF(F199="gestion","impacto",IF(F199="corrupcion","impactocorrupcion",IF(F199="seguridad_de_la_informacion","impacto","")))</f>
        <v>impacto</v>
      </c>
      <c r="N199" s="361" t="s">
        <v>18</v>
      </c>
      <c r="O199" s="361" t="s">
        <v>23</v>
      </c>
      <c r="P199" s="364" t="str">
        <f>N199&amp;O199</f>
        <v>PosibleModerado</v>
      </c>
      <c r="Q199" s="370" t="str">
        <f>IFERROR(VLOOKUP(P199,[19]FORMULAS!$B$37:$C$61,2,FALSE),"")</f>
        <v>Riesgo alto</v>
      </c>
      <c r="R199" s="373" t="s">
        <v>1160</v>
      </c>
      <c r="S199" s="373"/>
      <c r="T199" s="112" t="s">
        <v>286</v>
      </c>
      <c r="U199" s="113">
        <f>IF(T199="Asignado",15,0)</f>
        <v>15</v>
      </c>
      <c r="V199" s="112" t="s">
        <v>287</v>
      </c>
      <c r="W199" s="113">
        <f>IF(V199="Adecuado",15,0)</f>
        <v>15</v>
      </c>
      <c r="X199" s="112" t="s">
        <v>288</v>
      </c>
      <c r="Y199" s="113">
        <f>IF(X199="Oportuna",15,0)</f>
        <v>15</v>
      </c>
      <c r="Z199" s="112" t="s">
        <v>291</v>
      </c>
      <c r="AA199" s="113">
        <f>IF(Z199="Prevenir",15,IF(Z199="Detectar",10,0))</f>
        <v>15</v>
      </c>
      <c r="AB199" s="112" t="s">
        <v>290</v>
      </c>
      <c r="AC199" s="113">
        <f>IF(AB199="Confiable",15,0)</f>
        <v>15</v>
      </c>
      <c r="AD199" s="112" t="s">
        <v>292</v>
      </c>
      <c r="AE199" s="113">
        <f>IF(AD199="Se investigan y resuelven oportunamente",15,0)</f>
        <v>15</v>
      </c>
      <c r="AF199" s="112" t="s">
        <v>289</v>
      </c>
      <c r="AG199" s="113">
        <f>IF(AF199="Completa",10,IF(AF199="incompleta",5,0))</f>
        <v>10</v>
      </c>
      <c r="AH199" s="116">
        <f t="shared" ref="AH199:AH220" si="537">U199+W199+Y199+AA199+AC199+AE199+AG199</f>
        <v>100</v>
      </c>
      <c r="AI199" s="116" t="str">
        <f>IF(AH199&gt;=96,"Fuerte",IF(AH199&gt;=86,"Moderado",IF(AH199&gt;=1,"Débil","")))</f>
        <v>Fuerte</v>
      </c>
      <c r="AJ199" s="117" t="s">
        <v>293</v>
      </c>
      <c r="AK199" s="116" t="str">
        <f>IF(AJ199="Siempre se ejecuta","Fuerte",IF(AJ199="Algunas veces","Moderado",IF(AJ199="no se ejecuta","Débil","")))</f>
        <v>Fuerte</v>
      </c>
      <c r="AL199" s="116" t="str">
        <f>AI199&amp;AK199</f>
        <v>FuerteFuerte</v>
      </c>
      <c r="AM199" s="116" t="str">
        <f>IFERROR(VLOOKUP(AL199,[19]FORMULAS!$B$69:$D$77,3,FALSE),"")</f>
        <v>Fuerte</v>
      </c>
      <c r="AN199" s="116">
        <f>IF(AM199="fuerte",100,IF(AM199="Moderado",50,IF(AM199="débil",0,"")))</f>
        <v>100</v>
      </c>
      <c r="AO199" s="116" t="str">
        <f>IFERROR(VLOOKUP(AL199,[19]FORMULAS!$B$69:$D$77,2,FALSE),"")</f>
        <v>No</v>
      </c>
      <c r="AP199" s="358">
        <f>IFERROR(AVERAGE(AN199:AN202),0)</f>
        <v>100</v>
      </c>
      <c r="AQ199" s="358" t="str">
        <f>IF(AP199&gt;=100,"Fuerte",IF(AP199&gt;=50,"Moderado",IF(AP199&gt;=1,"Débil","")))</f>
        <v>Fuerte</v>
      </c>
      <c r="AR199" s="355" t="s">
        <v>160</v>
      </c>
      <c r="AS199" s="355" t="s">
        <v>160</v>
      </c>
      <c r="AT199" s="358" t="str">
        <f>+AQ199&amp;AR199&amp;AS199</f>
        <v>FuerteDirectamenteDirectamente</v>
      </c>
      <c r="AU199" s="358">
        <f>IFERROR(VLOOKUP(AT199,[19]FORMULAS!$B$94:$D$101,2,FALSE),0)</f>
        <v>2</v>
      </c>
      <c r="AV199" s="358">
        <f>IFERROR(VLOOKUP(AT199,[19]FORMULAS!$B$94:$D$101,3,FALSE),0)</f>
        <v>2</v>
      </c>
      <c r="AW199" s="361" t="s">
        <v>134</v>
      </c>
      <c r="AX199" s="361" t="s">
        <v>21</v>
      </c>
      <c r="AY199" s="364" t="str">
        <f>AW199&amp;AX199</f>
        <v>Rara vezInsignificante</v>
      </c>
      <c r="AZ199" s="367" t="str">
        <f>IFERROR(VLOOKUP(AY199,[19]FORMULAS!$B$37:$C$61,2,FALSE),"")</f>
        <v>Riesgo bajo</v>
      </c>
      <c r="BA199" s="370" t="s">
        <v>166</v>
      </c>
      <c r="BB199" s="153"/>
      <c r="BC199" s="200"/>
      <c r="BD199" s="200"/>
      <c r="BE199" s="160"/>
      <c r="BF199" s="292"/>
      <c r="BG199" s="119"/>
      <c r="BH199" s="200"/>
      <c r="BI199" s="200"/>
      <c r="BJ199" s="154"/>
    </row>
    <row r="200" spans="2:62" s="86" customFormat="1" ht="36" x14ac:dyDescent="0.25">
      <c r="B200" s="377"/>
      <c r="C200" s="362"/>
      <c r="D200" s="374"/>
      <c r="E200" s="374"/>
      <c r="F200" s="362"/>
      <c r="G200" s="362"/>
      <c r="H200" s="374"/>
      <c r="I200" s="380"/>
      <c r="J200" s="380"/>
      <c r="K200" s="121" t="s">
        <v>1161</v>
      </c>
      <c r="L200" s="340"/>
      <c r="M200" s="365"/>
      <c r="N200" s="362"/>
      <c r="O200" s="362"/>
      <c r="P200" s="365"/>
      <c r="Q200" s="371"/>
      <c r="R200" s="374"/>
      <c r="S200" s="374"/>
      <c r="T200" s="102"/>
      <c r="U200" s="106">
        <f t="shared" ref="U200:U202" si="538">IF(T200="Asignado",15,0)</f>
        <v>0</v>
      </c>
      <c r="V200" s="102"/>
      <c r="W200" s="106">
        <f t="shared" ref="W200:W202" si="539">IF(V200="Adecuado",15,0)</f>
        <v>0</v>
      </c>
      <c r="X200" s="102"/>
      <c r="Y200" s="106">
        <f t="shared" ref="Y200:Y202" si="540">IF(X200="Oportuna",15,0)</f>
        <v>0</v>
      </c>
      <c r="Z200" s="102"/>
      <c r="AA200" s="106">
        <f t="shared" ref="AA200:AA202" si="541">IF(Z200="Prevenir",15,IF(Z200="Detectar",10,0))</f>
        <v>0</v>
      </c>
      <c r="AB200" s="102"/>
      <c r="AC200" s="106">
        <f t="shared" ref="AC200:AC202" si="542">IF(AB200="Confiable",15,0)</f>
        <v>0</v>
      </c>
      <c r="AD200" s="102"/>
      <c r="AE200" s="106">
        <f t="shared" ref="AE200:AE202" si="543">IF(AD200="Se investigan y resuelven oportunamente",15,0)</f>
        <v>0</v>
      </c>
      <c r="AF200" s="102"/>
      <c r="AG200" s="106">
        <f t="shared" ref="AG200:AG202" si="544">IF(AF200="Completa",10,IF(AF200="incompleta",5,0))</f>
        <v>0</v>
      </c>
      <c r="AH200" s="105"/>
      <c r="AI200" s="105"/>
      <c r="AJ200" s="107"/>
      <c r="AK200" s="105"/>
      <c r="AL200" s="105" t="str">
        <f t="shared" ref="AL200:AL202" si="545">AI200&amp;AK200</f>
        <v/>
      </c>
      <c r="AM200" s="105" t="str">
        <f>IFERROR(VLOOKUP(AL200,[19]FORMULAS!$B$69:$D$77,3,FALSE),"")</f>
        <v/>
      </c>
      <c r="AN200" s="105" t="str">
        <f t="shared" ref="AN200:AN202" si="546">IF(AM200="fuerte",100,IF(AM200="Moderado",50,IF(AM200="débil",0,"")))</f>
        <v/>
      </c>
      <c r="AO200" s="105" t="str">
        <f>IFERROR(VLOOKUP(AL200,[19]FORMULAS!$B$69:$C$77,2,FALSE),"")</f>
        <v/>
      </c>
      <c r="AP200" s="359"/>
      <c r="AQ200" s="359"/>
      <c r="AR200" s="356"/>
      <c r="AS200" s="356"/>
      <c r="AT200" s="359"/>
      <c r="AU200" s="359"/>
      <c r="AV200" s="359"/>
      <c r="AW200" s="362"/>
      <c r="AX200" s="362"/>
      <c r="AY200" s="365"/>
      <c r="AZ200" s="368"/>
      <c r="BA200" s="371"/>
      <c r="BB200" s="152"/>
      <c r="BC200" s="82"/>
      <c r="BD200" s="82"/>
      <c r="BE200" s="83"/>
      <c r="BF200" s="85"/>
      <c r="BG200" s="84"/>
      <c r="BH200" s="82"/>
      <c r="BI200" s="82"/>
      <c r="BJ200" s="155"/>
    </row>
    <row r="201" spans="2:62" s="86" customFormat="1" ht="20.100000000000001" customHeight="1" x14ac:dyDescent="0.25">
      <c r="B201" s="377"/>
      <c r="C201" s="362"/>
      <c r="D201" s="374"/>
      <c r="E201" s="374"/>
      <c r="F201" s="362"/>
      <c r="G201" s="362"/>
      <c r="H201" s="374"/>
      <c r="I201" s="380"/>
      <c r="J201" s="380"/>
      <c r="K201" s="80"/>
      <c r="L201" s="80"/>
      <c r="M201" s="365"/>
      <c r="N201" s="362"/>
      <c r="O201" s="362"/>
      <c r="P201" s="365"/>
      <c r="Q201" s="371"/>
      <c r="R201" s="374"/>
      <c r="S201" s="374"/>
      <c r="T201" s="102"/>
      <c r="U201" s="106">
        <f t="shared" si="538"/>
        <v>0</v>
      </c>
      <c r="V201" s="102"/>
      <c r="W201" s="106">
        <f t="shared" si="539"/>
        <v>0</v>
      </c>
      <c r="X201" s="102"/>
      <c r="Y201" s="106">
        <f t="shared" si="540"/>
        <v>0</v>
      </c>
      <c r="Z201" s="102"/>
      <c r="AA201" s="106">
        <f t="shared" si="541"/>
        <v>0</v>
      </c>
      <c r="AB201" s="102"/>
      <c r="AC201" s="106">
        <f t="shared" si="542"/>
        <v>0</v>
      </c>
      <c r="AD201" s="102"/>
      <c r="AE201" s="106">
        <f t="shared" si="543"/>
        <v>0</v>
      </c>
      <c r="AF201" s="102"/>
      <c r="AG201" s="106">
        <f t="shared" si="544"/>
        <v>0</v>
      </c>
      <c r="AH201" s="105">
        <f t="shared" si="537"/>
        <v>0</v>
      </c>
      <c r="AI201" s="105" t="str">
        <f t="shared" ref="AI201:AI202" si="547">IF(AH201&gt;=96,"Fuerte",IF(AH201&gt;=86,"Moderado",IF(AH201&gt;=1,"Débil","")))</f>
        <v/>
      </c>
      <c r="AJ201" s="107"/>
      <c r="AK201" s="105" t="str">
        <f t="shared" ref="AK201:AK202" si="548">IF(AJ201="Siempre se ejecuta","Fuerte",IF(AJ201="Algunas veces","Moderado",IF(AJ201="no se ejecuta","Débil","")))</f>
        <v/>
      </c>
      <c r="AL201" s="105" t="str">
        <f t="shared" si="545"/>
        <v/>
      </c>
      <c r="AM201" s="105" t="str">
        <f>IFERROR(VLOOKUP(AL201,[19]FORMULAS!$B$69:$D$77,3,FALSE),"")</f>
        <v/>
      </c>
      <c r="AN201" s="105" t="str">
        <f t="shared" si="546"/>
        <v/>
      </c>
      <c r="AO201" s="105" t="str">
        <f>IFERROR(VLOOKUP(AL201,[19]FORMULAS!$B$69:$C$77,2,FALSE),"")</f>
        <v/>
      </c>
      <c r="AP201" s="359"/>
      <c r="AQ201" s="359"/>
      <c r="AR201" s="356"/>
      <c r="AS201" s="356"/>
      <c r="AT201" s="359"/>
      <c r="AU201" s="359"/>
      <c r="AV201" s="359"/>
      <c r="AW201" s="362"/>
      <c r="AX201" s="362"/>
      <c r="AY201" s="365"/>
      <c r="AZ201" s="368"/>
      <c r="BA201" s="371"/>
      <c r="BB201" s="152"/>
      <c r="BC201" s="82"/>
      <c r="BD201" s="82"/>
      <c r="BE201" s="83"/>
      <c r="BF201" s="85"/>
      <c r="BG201" s="84"/>
      <c r="BH201" s="82"/>
      <c r="BI201" s="82"/>
      <c r="BJ201" s="155"/>
    </row>
    <row r="202" spans="2:62" s="86" customFormat="1" ht="20.100000000000001" customHeight="1" thickBot="1" x14ac:dyDescent="0.3">
      <c r="B202" s="378"/>
      <c r="C202" s="363"/>
      <c r="D202" s="375"/>
      <c r="E202" s="375"/>
      <c r="F202" s="363"/>
      <c r="G202" s="363"/>
      <c r="H202" s="375"/>
      <c r="I202" s="381"/>
      <c r="J202" s="381"/>
      <c r="K202" s="124"/>
      <c r="L202" s="124"/>
      <c r="M202" s="366"/>
      <c r="N202" s="363"/>
      <c r="O202" s="363"/>
      <c r="P202" s="366"/>
      <c r="Q202" s="372"/>
      <c r="R202" s="375"/>
      <c r="S202" s="375"/>
      <c r="T202" s="125"/>
      <c r="U202" s="126">
        <f t="shared" si="538"/>
        <v>0</v>
      </c>
      <c r="V202" s="125"/>
      <c r="W202" s="126">
        <f t="shared" si="539"/>
        <v>0</v>
      </c>
      <c r="X202" s="125"/>
      <c r="Y202" s="126">
        <f t="shared" si="540"/>
        <v>0</v>
      </c>
      <c r="Z202" s="125"/>
      <c r="AA202" s="126">
        <f t="shared" si="541"/>
        <v>0</v>
      </c>
      <c r="AB202" s="125"/>
      <c r="AC202" s="126">
        <f t="shared" si="542"/>
        <v>0</v>
      </c>
      <c r="AD202" s="125"/>
      <c r="AE202" s="126">
        <f t="shared" si="543"/>
        <v>0</v>
      </c>
      <c r="AF202" s="125"/>
      <c r="AG202" s="126">
        <f t="shared" si="544"/>
        <v>0</v>
      </c>
      <c r="AH202" s="129">
        <f t="shared" si="537"/>
        <v>0</v>
      </c>
      <c r="AI202" s="129" t="str">
        <f t="shared" si="547"/>
        <v/>
      </c>
      <c r="AJ202" s="130"/>
      <c r="AK202" s="129" t="str">
        <f t="shared" si="548"/>
        <v/>
      </c>
      <c r="AL202" s="129" t="str">
        <f t="shared" si="545"/>
        <v/>
      </c>
      <c r="AM202" s="129" t="str">
        <f>IFERROR(VLOOKUP(AL202,[19]FORMULAS!$B$69:$D$77,3,FALSE),"")</f>
        <v/>
      </c>
      <c r="AN202" s="129" t="str">
        <f t="shared" si="546"/>
        <v/>
      </c>
      <c r="AO202" s="129" t="str">
        <f>IFERROR(VLOOKUP(AL202,[19]FORMULAS!$B$69:$C$77,2,FALSE),"")</f>
        <v/>
      </c>
      <c r="AP202" s="360"/>
      <c r="AQ202" s="360"/>
      <c r="AR202" s="357"/>
      <c r="AS202" s="357"/>
      <c r="AT202" s="360"/>
      <c r="AU202" s="360"/>
      <c r="AV202" s="360"/>
      <c r="AW202" s="363"/>
      <c r="AX202" s="363"/>
      <c r="AY202" s="366"/>
      <c r="AZ202" s="369"/>
      <c r="BA202" s="372"/>
      <c r="BB202" s="131"/>
      <c r="BC202" s="132"/>
      <c r="BD202" s="132"/>
      <c r="BE202" s="161"/>
      <c r="BF202" s="290"/>
      <c r="BG202" s="139"/>
      <c r="BH202" s="132"/>
      <c r="BI202" s="132"/>
      <c r="BJ202" s="156"/>
    </row>
    <row r="203" spans="2:62" s="86" customFormat="1" ht="24" x14ac:dyDescent="0.25">
      <c r="B203" s="376" t="s">
        <v>75</v>
      </c>
      <c r="C203" s="361">
        <v>56</v>
      </c>
      <c r="D203" s="373" t="s">
        <v>1162</v>
      </c>
      <c r="E203" s="373" t="s">
        <v>1163</v>
      </c>
      <c r="F203" s="361" t="s">
        <v>91</v>
      </c>
      <c r="G203" s="361" t="s">
        <v>100</v>
      </c>
      <c r="H203" s="373" t="s">
        <v>1164</v>
      </c>
      <c r="I203" s="379" t="s">
        <v>128</v>
      </c>
      <c r="J203" s="379" t="s">
        <v>118</v>
      </c>
      <c r="K203" s="109" t="s">
        <v>1165</v>
      </c>
      <c r="L203" s="339" t="s">
        <v>1166</v>
      </c>
      <c r="M203" s="364" t="str">
        <f>IF(F203="gestion","impacto",IF(F203="corrupcion","impactocorrupcion",IF(F203="seguridad_de_la_informacion","impacto","")))</f>
        <v>impacto</v>
      </c>
      <c r="N203" s="361" t="s">
        <v>18</v>
      </c>
      <c r="O203" s="361" t="s">
        <v>23</v>
      </c>
      <c r="P203" s="364" t="str">
        <f>N203&amp;O203</f>
        <v>PosibleModerado</v>
      </c>
      <c r="Q203" s="370" t="str">
        <f>IFERROR(VLOOKUP(P203,[19]FORMULAS!$B$37:$C$61,2,FALSE),"")</f>
        <v>Riesgo alto</v>
      </c>
      <c r="R203" s="373" t="s">
        <v>1167</v>
      </c>
      <c r="S203" s="373"/>
      <c r="T203" s="112" t="s">
        <v>286</v>
      </c>
      <c r="U203" s="113">
        <f>IF(T203="Asignado",15,0)</f>
        <v>15</v>
      </c>
      <c r="V203" s="112" t="s">
        <v>287</v>
      </c>
      <c r="W203" s="113">
        <f>IF(V203="Adecuado",15,0)</f>
        <v>15</v>
      </c>
      <c r="X203" s="112" t="s">
        <v>288</v>
      </c>
      <c r="Y203" s="113">
        <f>IF(X203="Oportuna",15,0)</f>
        <v>15</v>
      </c>
      <c r="Z203" s="112" t="s">
        <v>291</v>
      </c>
      <c r="AA203" s="113">
        <f>IF(Z203="Prevenir",15,IF(Z203="Detectar",10,0))</f>
        <v>15</v>
      </c>
      <c r="AB203" s="112" t="s">
        <v>290</v>
      </c>
      <c r="AC203" s="113">
        <f>IF(AB203="Confiable",15,0)</f>
        <v>15</v>
      </c>
      <c r="AD203" s="112" t="s">
        <v>292</v>
      </c>
      <c r="AE203" s="113">
        <f>IF(AD203="Se investigan y resuelven oportunamente",15,0)</f>
        <v>15</v>
      </c>
      <c r="AF203" s="112" t="s">
        <v>289</v>
      </c>
      <c r="AG203" s="113">
        <f>IF(AF203="Completa",10,IF(AF203="incompleta",5,0))</f>
        <v>10</v>
      </c>
      <c r="AH203" s="116">
        <f t="shared" si="537"/>
        <v>100</v>
      </c>
      <c r="AI203" s="116" t="str">
        <f>IF(AH203&gt;=96,"Fuerte",IF(AH203&gt;=86,"Moderado",IF(AH203&gt;=1,"Débil","")))</f>
        <v>Fuerte</v>
      </c>
      <c r="AJ203" s="117" t="s">
        <v>293</v>
      </c>
      <c r="AK203" s="116" t="str">
        <f>IF(AJ203="Siempre se ejecuta","Fuerte",IF(AJ203="Algunas veces","Moderado",IF(AJ203="no se ejecuta","Débil","")))</f>
        <v>Fuerte</v>
      </c>
      <c r="AL203" s="116" t="str">
        <f>AI203&amp;AK203</f>
        <v>FuerteFuerte</v>
      </c>
      <c r="AM203" s="116" t="str">
        <f>IFERROR(VLOOKUP(AL203,[19]FORMULAS!$B$69:$D$77,3,FALSE),"")</f>
        <v>Fuerte</v>
      </c>
      <c r="AN203" s="116">
        <f>IF(AM203="fuerte",100,IF(AM203="Moderado",50,IF(AM203="débil",0,"")))</f>
        <v>100</v>
      </c>
      <c r="AO203" s="116" t="str">
        <f>IFERROR(VLOOKUP(AL203,[19]FORMULAS!$B$69:$D$77,2,FALSE),"")</f>
        <v>No</v>
      </c>
      <c r="AP203" s="358">
        <f>IFERROR(AVERAGE(AN203:AN206),0)</f>
        <v>100</v>
      </c>
      <c r="AQ203" s="358" t="str">
        <f>IF(AP203&gt;=100,"Fuerte",IF(AP203&gt;=50,"Moderado",IF(AP203&gt;=1,"Débil","")))</f>
        <v>Fuerte</v>
      </c>
      <c r="AR203" s="355" t="s">
        <v>160</v>
      </c>
      <c r="AS203" s="355" t="s">
        <v>160</v>
      </c>
      <c r="AT203" s="358" t="str">
        <f>+AQ203&amp;AR203&amp;AS203</f>
        <v>FuerteDirectamenteDirectamente</v>
      </c>
      <c r="AU203" s="358">
        <f>IFERROR(VLOOKUP(AT203,[19]FORMULAS!$B$94:$D$101,2,FALSE),0)</f>
        <v>2</v>
      </c>
      <c r="AV203" s="358">
        <f>IFERROR(VLOOKUP(AT203,[19]FORMULAS!$B$94:$D$101,3,FALSE),0)</f>
        <v>2</v>
      </c>
      <c r="AW203" s="361" t="s">
        <v>134</v>
      </c>
      <c r="AX203" s="361" t="s">
        <v>22</v>
      </c>
      <c r="AY203" s="364" t="str">
        <f>AW203&amp;AX203</f>
        <v>Rara vezMenor</v>
      </c>
      <c r="AZ203" s="367" t="str">
        <f>IFERROR(VLOOKUP(AY203,[19]FORMULAS!$B$37:$C$61,2,FALSE),"")</f>
        <v>Riesgo bajo</v>
      </c>
      <c r="BA203" s="370" t="s">
        <v>166</v>
      </c>
      <c r="BB203" s="153"/>
      <c r="BC203" s="200"/>
      <c r="BD203" s="200"/>
      <c r="BE203" s="160"/>
      <c r="BF203" s="292"/>
      <c r="BG203" s="119"/>
      <c r="BH203" s="200"/>
      <c r="BI203" s="200"/>
      <c r="BJ203" s="154"/>
    </row>
    <row r="204" spans="2:62" s="86" customFormat="1" ht="24" x14ac:dyDescent="0.25">
      <c r="B204" s="377"/>
      <c r="C204" s="362"/>
      <c r="D204" s="374"/>
      <c r="E204" s="374"/>
      <c r="F204" s="362"/>
      <c r="G204" s="362"/>
      <c r="H204" s="374"/>
      <c r="I204" s="380"/>
      <c r="J204" s="380"/>
      <c r="K204" s="121" t="s">
        <v>1168</v>
      </c>
      <c r="L204" s="340"/>
      <c r="M204" s="365"/>
      <c r="N204" s="362"/>
      <c r="O204" s="362"/>
      <c r="P204" s="365"/>
      <c r="Q204" s="371"/>
      <c r="R204" s="374" t="s">
        <v>1169</v>
      </c>
      <c r="S204" s="374"/>
      <c r="T204" s="102" t="s">
        <v>286</v>
      </c>
      <c r="U204" s="106">
        <f t="shared" ref="U204:U206" si="549">IF(T204="Asignado",15,0)</f>
        <v>15</v>
      </c>
      <c r="V204" s="102" t="s">
        <v>287</v>
      </c>
      <c r="W204" s="106">
        <f t="shared" ref="W204:W206" si="550">IF(V204="Adecuado",15,0)</f>
        <v>15</v>
      </c>
      <c r="X204" s="102" t="s">
        <v>288</v>
      </c>
      <c r="Y204" s="106">
        <f t="shared" ref="Y204:Y206" si="551">IF(X204="Oportuna",15,0)</f>
        <v>15</v>
      </c>
      <c r="Z204" s="102" t="s">
        <v>291</v>
      </c>
      <c r="AA204" s="106">
        <f t="shared" ref="AA204:AA206" si="552">IF(Z204="Prevenir",15,IF(Z204="Detectar",10,0))</f>
        <v>15</v>
      </c>
      <c r="AB204" s="102" t="s">
        <v>290</v>
      </c>
      <c r="AC204" s="106">
        <f t="shared" ref="AC204:AC206" si="553">IF(AB204="Confiable",15,0)</f>
        <v>15</v>
      </c>
      <c r="AD204" s="102" t="s">
        <v>292</v>
      </c>
      <c r="AE204" s="106">
        <f t="shared" ref="AE204:AE206" si="554">IF(AD204="Se investigan y resuelven oportunamente",15,0)</f>
        <v>15</v>
      </c>
      <c r="AF204" s="102" t="s">
        <v>289</v>
      </c>
      <c r="AG204" s="106">
        <f t="shared" ref="AG204:AG206" si="555">IF(AF204="Completa",10,IF(AF204="incompleta",5,0))</f>
        <v>10</v>
      </c>
      <c r="AH204" s="105">
        <f t="shared" si="537"/>
        <v>100</v>
      </c>
      <c r="AI204" s="105" t="str">
        <f>IF(AH204&gt;=96,"Fuerte",IF(AH204&gt;=86,"Moderado",IF(AH204&gt;=1,"Débil","")))</f>
        <v>Fuerte</v>
      </c>
      <c r="AJ204" s="107" t="s">
        <v>293</v>
      </c>
      <c r="AK204" s="105" t="str">
        <f t="shared" ref="AK204:AK206" si="556">IF(AJ204="Siempre se ejecuta","Fuerte",IF(AJ204="Algunas veces","Moderado",IF(AJ204="no se ejecuta","Débil","")))</f>
        <v>Fuerte</v>
      </c>
      <c r="AL204" s="105" t="str">
        <f t="shared" ref="AL204:AL206" si="557">AI204&amp;AK204</f>
        <v>FuerteFuerte</v>
      </c>
      <c r="AM204" s="105" t="str">
        <f>IFERROR(VLOOKUP(AL204,[19]FORMULAS!$B$69:$D$77,3,FALSE),"")</f>
        <v>Fuerte</v>
      </c>
      <c r="AN204" s="105">
        <f t="shared" ref="AN204:AN206" si="558">IF(AM204="fuerte",100,IF(AM204="Moderado",50,IF(AM204="débil",0,"")))</f>
        <v>100</v>
      </c>
      <c r="AO204" s="105" t="str">
        <f>IFERROR(VLOOKUP(AL204,[19]FORMULAS!$B$69:$C$77,2,FALSE),"")</f>
        <v>No</v>
      </c>
      <c r="AP204" s="359"/>
      <c r="AQ204" s="359"/>
      <c r="AR204" s="356"/>
      <c r="AS204" s="356"/>
      <c r="AT204" s="359"/>
      <c r="AU204" s="359"/>
      <c r="AV204" s="359"/>
      <c r="AW204" s="362"/>
      <c r="AX204" s="362"/>
      <c r="AY204" s="365"/>
      <c r="AZ204" s="368"/>
      <c r="BA204" s="371"/>
      <c r="BB204" s="152"/>
      <c r="BC204" s="82"/>
      <c r="BD204" s="82"/>
      <c r="BE204" s="83"/>
      <c r="BF204" s="85"/>
      <c r="BG204" s="84"/>
      <c r="BH204" s="82"/>
      <c r="BI204" s="82"/>
      <c r="BJ204" s="155"/>
    </row>
    <row r="205" spans="2:62" s="86" customFormat="1" ht="20.100000000000001" customHeight="1" x14ac:dyDescent="0.25">
      <c r="B205" s="377"/>
      <c r="C205" s="362"/>
      <c r="D205" s="374"/>
      <c r="E205" s="374"/>
      <c r="F205" s="362"/>
      <c r="G205" s="362"/>
      <c r="H205" s="374"/>
      <c r="I205" s="380"/>
      <c r="J205" s="380"/>
      <c r="K205" s="80"/>
      <c r="L205" s="80"/>
      <c r="M205" s="365"/>
      <c r="N205" s="362"/>
      <c r="O205" s="362"/>
      <c r="P205" s="365"/>
      <c r="Q205" s="371"/>
      <c r="R205" s="374"/>
      <c r="S205" s="374"/>
      <c r="T205" s="102"/>
      <c r="U205" s="106">
        <f t="shared" si="549"/>
        <v>0</v>
      </c>
      <c r="V205" s="102"/>
      <c r="W205" s="106">
        <f t="shared" si="550"/>
        <v>0</v>
      </c>
      <c r="X205" s="102"/>
      <c r="Y205" s="106">
        <f t="shared" si="551"/>
        <v>0</v>
      </c>
      <c r="Z205" s="102"/>
      <c r="AA205" s="106">
        <f t="shared" si="552"/>
        <v>0</v>
      </c>
      <c r="AB205" s="102"/>
      <c r="AC205" s="106">
        <f t="shared" si="553"/>
        <v>0</v>
      </c>
      <c r="AD205" s="102"/>
      <c r="AE205" s="106">
        <f t="shared" si="554"/>
        <v>0</v>
      </c>
      <c r="AF205" s="102"/>
      <c r="AG205" s="106">
        <f t="shared" si="555"/>
        <v>0</v>
      </c>
      <c r="AH205" s="105">
        <f t="shared" si="537"/>
        <v>0</v>
      </c>
      <c r="AI205" s="105" t="str">
        <f t="shared" ref="AI205:AI206" si="559">IF(AH205&gt;=96,"Fuerte",IF(AH205&gt;=86,"Moderado",IF(AH205&gt;=1,"Débil","")))</f>
        <v/>
      </c>
      <c r="AJ205" s="107"/>
      <c r="AK205" s="105" t="str">
        <f t="shared" si="556"/>
        <v/>
      </c>
      <c r="AL205" s="105" t="str">
        <f t="shared" si="557"/>
        <v/>
      </c>
      <c r="AM205" s="105" t="str">
        <f>IFERROR(VLOOKUP(AL205,[19]FORMULAS!$B$69:$D$77,3,FALSE),"")</f>
        <v/>
      </c>
      <c r="AN205" s="105" t="str">
        <f t="shared" si="558"/>
        <v/>
      </c>
      <c r="AO205" s="105" t="str">
        <f>IFERROR(VLOOKUP(AL205,[19]FORMULAS!$B$69:$C$77,2,FALSE),"")</f>
        <v/>
      </c>
      <c r="AP205" s="359"/>
      <c r="AQ205" s="359"/>
      <c r="AR205" s="356"/>
      <c r="AS205" s="356"/>
      <c r="AT205" s="359"/>
      <c r="AU205" s="359"/>
      <c r="AV205" s="359"/>
      <c r="AW205" s="362"/>
      <c r="AX205" s="362"/>
      <c r="AY205" s="365"/>
      <c r="AZ205" s="368"/>
      <c r="BA205" s="371"/>
      <c r="BB205" s="152"/>
      <c r="BC205" s="82"/>
      <c r="BD205" s="82"/>
      <c r="BE205" s="83"/>
      <c r="BF205" s="85"/>
      <c r="BG205" s="84"/>
      <c r="BH205" s="82"/>
      <c r="BI205" s="82"/>
      <c r="BJ205" s="155"/>
    </row>
    <row r="206" spans="2:62" s="86" customFormat="1" ht="20.100000000000001" customHeight="1" thickBot="1" x14ac:dyDescent="0.3">
      <c r="B206" s="378"/>
      <c r="C206" s="363"/>
      <c r="D206" s="375"/>
      <c r="E206" s="375"/>
      <c r="F206" s="363"/>
      <c r="G206" s="363"/>
      <c r="H206" s="375"/>
      <c r="I206" s="381"/>
      <c r="J206" s="381"/>
      <c r="K206" s="124"/>
      <c r="L206" s="124"/>
      <c r="M206" s="366"/>
      <c r="N206" s="363"/>
      <c r="O206" s="363"/>
      <c r="P206" s="366"/>
      <c r="Q206" s="372"/>
      <c r="R206" s="375"/>
      <c r="S206" s="375"/>
      <c r="T206" s="125"/>
      <c r="U206" s="126">
        <f t="shared" si="549"/>
        <v>0</v>
      </c>
      <c r="V206" s="125"/>
      <c r="W206" s="126">
        <f t="shared" si="550"/>
        <v>0</v>
      </c>
      <c r="X206" s="125"/>
      <c r="Y206" s="126">
        <f t="shared" si="551"/>
        <v>0</v>
      </c>
      <c r="Z206" s="125"/>
      <c r="AA206" s="126">
        <f t="shared" si="552"/>
        <v>0</v>
      </c>
      <c r="AB206" s="125"/>
      <c r="AC206" s="126">
        <f t="shared" si="553"/>
        <v>0</v>
      </c>
      <c r="AD206" s="125"/>
      <c r="AE206" s="126">
        <f t="shared" si="554"/>
        <v>0</v>
      </c>
      <c r="AF206" s="125"/>
      <c r="AG206" s="126">
        <f t="shared" si="555"/>
        <v>0</v>
      </c>
      <c r="AH206" s="129">
        <f t="shared" si="537"/>
        <v>0</v>
      </c>
      <c r="AI206" s="129" t="str">
        <f t="shared" si="559"/>
        <v/>
      </c>
      <c r="AJ206" s="130"/>
      <c r="AK206" s="129" t="str">
        <f t="shared" si="556"/>
        <v/>
      </c>
      <c r="AL206" s="129" t="str">
        <f t="shared" si="557"/>
        <v/>
      </c>
      <c r="AM206" s="129" t="str">
        <f>IFERROR(VLOOKUP(AL206,[19]FORMULAS!$B$69:$D$77,3,FALSE),"")</f>
        <v/>
      </c>
      <c r="AN206" s="129" t="str">
        <f t="shared" si="558"/>
        <v/>
      </c>
      <c r="AO206" s="129" t="str">
        <f>IFERROR(VLOOKUP(AL206,[19]FORMULAS!$B$69:$C$77,2,FALSE),"")</f>
        <v/>
      </c>
      <c r="AP206" s="360"/>
      <c r="AQ206" s="360"/>
      <c r="AR206" s="357"/>
      <c r="AS206" s="357"/>
      <c r="AT206" s="360"/>
      <c r="AU206" s="360"/>
      <c r="AV206" s="360"/>
      <c r="AW206" s="363"/>
      <c r="AX206" s="363"/>
      <c r="AY206" s="366"/>
      <c r="AZ206" s="369"/>
      <c r="BA206" s="372"/>
      <c r="BB206" s="131"/>
      <c r="BC206" s="132"/>
      <c r="BD206" s="132"/>
      <c r="BE206" s="161"/>
      <c r="BF206" s="290"/>
      <c r="BG206" s="139"/>
      <c r="BH206" s="132"/>
      <c r="BI206" s="132"/>
      <c r="BJ206" s="156"/>
    </row>
    <row r="207" spans="2:62" s="86" customFormat="1" ht="36" x14ac:dyDescent="0.25">
      <c r="B207" s="376" t="s">
        <v>75</v>
      </c>
      <c r="C207" s="361">
        <v>58</v>
      </c>
      <c r="D207" s="373" t="s">
        <v>1170</v>
      </c>
      <c r="E207" s="373" t="s">
        <v>1171</v>
      </c>
      <c r="F207" s="361" t="s">
        <v>90</v>
      </c>
      <c r="G207" s="361" t="s">
        <v>98</v>
      </c>
      <c r="H207" s="373"/>
      <c r="I207" s="379"/>
      <c r="J207" s="379"/>
      <c r="K207" s="109" t="s">
        <v>1172</v>
      </c>
      <c r="L207" s="199" t="s">
        <v>1173</v>
      </c>
      <c r="M207" s="364" t="str">
        <f>IF(F207="gestion","impacto",IF(F207="corrupcion","impactocorrupcion",IF(F207="seguridad_de_la_informacion","impacto","")))</f>
        <v>impactocorrupcion</v>
      </c>
      <c r="N207" s="361" t="s">
        <v>18</v>
      </c>
      <c r="O207" s="361" t="s">
        <v>24</v>
      </c>
      <c r="P207" s="364" t="str">
        <f>N207&amp;O207</f>
        <v>PosibleMayor</v>
      </c>
      <c r="Q207" s="370" t="str">
        <f>IFERROR(VLOOKUP(P207,[19]FORMULAS!$B$37:$C$61,2,FALSE),"")</f>
        <v>Riesgo extremo</v>
      </c>
      <c r="R207" s="373" t="s">
        <v>1174</v>
      </c>
      <c r="S207" s="373"/>
      <c r="T207" s="112" t="s">
        <v>286</v>
      </c>
      <c r="U207" s="113">
        <f>IF(T207="Asignado",15,0)</f>
        <v>15</v>
      </c>
      <c r="V207" s="112" t="s">
        <v>287</v>
      </c>
      <c r="W207" s="113">
        <f>IF(V207="Adecuado",15,0)</f>
        <v>15</v>
      </c>
      <c r="X207" s="112" t="s">
        <v>288</v>
      </c>
      <c r="Y207" s="113">
        <f>IF(X207="Oportuna",15,0)</f>
        <v>15</v>
      </c>
      <c r="Z207" s="112" t="s">
        <v>291</v>
      </c>
      <c r="AA207" s="113">
        <f>IF(Z207="Prevenir",15,IF(Z207="Detectar",10,0))</f>
        <v>15</v>
      </c>
      <c r="AB207" s="112" t="s">
        <v>290</v>
      </c>
      <c r="AC207" s="113">
        <f>IF(AB207="Confiable",15,0)</f>
        <v>15</v>
      </c>
      <c r="AD207" s="112" t="s">
        <v>292</v>
      </c>
      <c r="AE207" s="113">
        <f>IF(AD207="Se investigan y resuelven oportunamente",15,0)</f>
        <v>15</v>
      </c>
      <c r="AF207" s="112" t="s">
        <v>289</v>
      </c>
      <c r="AG207" s="113">
        <f>IF(AF207="Completa",10,IF(AF207="incompleta",5,0))</f>
        <v>10</v>
      </c>
      <c r="AH207" s="116">
        <f t="shared" si="537"/>
        <v>100</v>
      </c>
      <c r="AI207" s="116" t="str">
        <f>IF(AH207&gt;=96,"Fuerte",IF(AH207&gt;=86,"Moderado",IF(AH207&gt;=1,"Débil","")))</f>
        <v>Fuerte</v>
      </c>
      <c r="AJ207" s="117" t="s">
        <v>293</v>
      </c>
      <c r="AK207" s="116" t="str">
        <f>IF(AJ207="Siempre se ejecuta","Fuerte",IF(AJ207="Algunas veces","Moderado",IF(AJ207="no se ejecuta","Débil","")))</f>
        <v>Fuerte</v>
      </c>
      <c r="AL207" s="116" t="str">
        <f>AI207&amp;AK207</f>
        <v>FuerteFuerte</v>
      </c>
      <c r="AM207" s="116" t="str">
        <f>IFERROR(VLOOKUP(AL207,[19]FORMULAS!$B$69:$D$77,3,FALSE),"")</f>
        <v>Fuerte</v>
      </c>
      <c r="AN207" s="116">
        <f>IF(AM207="fuerte",100,IF(AM207="Moderado",50,IF(AM207="débil",0,"")))</f>
        <v>100</v>
      </c>
      <c r="AO207" s="116" t="str">
        <f>IFERROR(VLOOKUP(AL207,[19]FORMULAS!$B$69:$D$77,2,FALSE),"")</f>
        <v>No</v>
      </c>
      <c r="AP207" s="358">
        <f>IFERROR(AVERAGE(AN207:AN210),0)</f>
        <v>100</v>
      </c>
      <c r="AQ207" s="358" t="str">
        <f>IF(AP207&gt;=100,"Fuerte",IF(AP207&gt;=50,"Moderado",IF(AP207&gt;=1,"Débil","")))</f>
        <v>Fuerte</v>
      </c>
      <c r="AR207" s="355" t="s">
        <v>160</v>
      </c>
      <c r="AS207" s="355" t="s">
        <v>160</v>
      </c>
      <c r="AT207" s="358" t="str">
        <f>+AQ207&amp;AR207&amp;AS207</f>
        <v>FuerteDirectamenteDirectamente</v>
      </c>
      <c r="AU207" s="358">
        <f>IFERROR(VLOOKUP(AT207,[19]FORMULAS!$B$94:$D$101,2,FALSE),0)</f>
        <v>2</v>
      </c>
      <c r="AV207" s="358">
        <f>IFERROR(VLOOKUP(AT207,[19]FORMULAS!$B$94:$D$101,3,FALSE),0)</f>
        <v>2</v>
      </c>
      <c r="AW207" s="361" t="s">
        <v>17</v>
      </c>
      <c r="AX207" s="361" t="s">
        <v>22</v>
      </c>
      <c r="AY207" s="364" t="str">
        <f>AW207&amp;AX207</f>
        <v>ImprobableMenor</v>
      </c>
      <c r="AZ207" s="367" t="str">
        <f>IFERROR(VLOOKUP(AY207,[19]FORMULAS!$B$37:$C$61,2,FALSE),"")</f>
        <v>Riesgo bajo</v>
      </c>
      <c r="BA207" s="370" t="s">
        <v>166</v>
      </c>
      <c r="BB207" s="153"/>
      <c r="BC207" s="200"/>
      <c r="BD207" s="200"/>
      <c r="BE207" s="160"/>
      <c r="BF207" s="292"/>
      <c r="BG207" s="119"/>
      <c r="BH207" s="200"/>
      <c r="BI207" s="200"/>
      <c r="BJ207" s="154"/>
    </row>
    <row r="208" spans="2:62" s="86" customFormat="1" ht="20.100000000000001" customHeight="1" x14ac:dyDescent="0.25">
      <c r="B208" s="377"/>
      <c r="C208" s="362"/>
      <c r="D208" s="374"/>
      <c r="E208" s="374"/>
      <c r="F208" s="362"/>
      <c r="G208" s="362"/>
      <c r="H208" s="374"/>
      <c r="I208" s="380"/>
      <c r="J208" s="380"/>
      <c r="K208" s="80"/>
      <c r="L208" s="80"/>
      <c r="M208" s="365"/>
      <c r="N208" s="362"/>
      <c r="O208" s="362"/>
      <c r="P208" s="365"/>
      <c r="Q208" s="371"/>
      <c r="R208" s="374"/>
      <c r="S208" s="374"/>
      <c r="T208" s="102"/>
      <c r="U208" s="106">
        <f t="shared" ref="U208:U210" si="560">IF(T208="Asignado",15,0)</f>
        <v>0</v>
      </c>
      <c r="V208" s="102"/>
      <c r="W208" s="106">
        <f t="shared" ref="W208:W210" si="561">IF(V208="Adecuado",15,0)</f>
        <v>0</v>
      </c>
      <c r="X208" s="102"/>
      <c r="Y208" s="106">
        <f t="shared" ref="Y208:Y210" si="562">IF(X208="Oportuna",15,0)</f>
        <v>0</v>
      </c>
      <c r="Z208" s="102"/>
      <c r="AA208" s="106">
        <f t="shared" ref="AA208:AA210" si="563">IF(Z208="Prevenir",15,IF(Z208="Detectar",10,0))</f>
        <v>0</v>
      </c>
      <c r="AB208" s="102"/>
      <c r="AC208" s="106">
        <f t="shared" ref="AC208:AC210" si="564">IF(AB208="Confiable",15,0)</f>
        <v>0</v>
      </c>
      <c r="AD208" s="102"/>
      <c r="AE208" s="106">
        <f t="shared" ref="AE208:AE210" si="565">IF(AD208="Se investigan y resuelven oportunamente",15,0)</f>
        <v>0</v>
      </c>
      <c r="AF208" s="102"/>
      <c r="AG208" s="106">
        <f t="shared" ref="AG208:AG210" si="566">IF(AF208="Completa",10,IF(AF208="incompleta",5,0))</f>
        <v>0</v>
      </c>
      <c r="AH208" s="105">
        <f t="shared" si="537"/>
        <v>0</v>
      </c>
      <c r="AI208" s="105" t="str">
        <f>IF(AH208&gt;=96,"Fuerte",IF(AH208&gt;=86,"Moderado",IF(AH208&gt;=1,"Débil","")))</f>
        <v/>
      </c>
      <c r="AJ208" s="107"/>
      <c r="AK208" s="105" t="str">
        <f t="shared" ref="AK208:AK210" si="567">IF(AJ208="Siempre se ejecuta","Fuerte",IF(AJ208="Algunas veces","Moderado",IF(AJ208="no se ejecuta","Débil","")))</f>
        <v/>
      </c>
      <c r="AL208" s="105" t="str">
        <f t="shared" ref="AL208:AL210" si="568">AI208&amp;AK208</f>
        <v/>
      </c>
      <c r="AM208" s="105" t="str">
        <f>IFERROR(VLOOKUP(AL208,[19]FORMULAS!$B$69:$D$77,3,FALSE),"")</f>
        <v/>
      </c>
      <c r="AN208" s="105" t="str">
        <f t="shared" ref="AN208:AN210" si="569">IF(AM208="fuerte",100,IF(AM208="Moderado",50,IF(AM208="débil",0,"")))</f>
        <v/>
      </c>
      <c r="AO208" s="105" t="str">
        <f>IFERROR(VLOOKUP(AL208,[19]FORMULAS!$B$69:$C$77,2,FALSE),"")</f>
        <v/>
      </c>
      <c r="AP208" s="359"/>
      <c r="AQ208" s="359"/>
      <c r="AR208" s="356"/>
      <c r="AS208" s="356"/>
      <c r="AT208" s="359"/>
      <c r="AU208" s="359"/>
      <c r="AV208" s="359"/>
      <c r="AW208" s="362"/>
      <c r="AX208" s="362"/>
      <c r="AY208" s="365"/>
      <c r="AZ208" s="368"/>
      <c r="BA208" s="371"/>
      <c r="BB208" s="152"/>
      <c r="BC208" s="82"/>
      <c r="BD208" s="82"/>
      <c r="BE208" s="83"/>
      <c r="BF208" s="85"/>
      <c r="BG208" s="84"/>
      <c r="BH208" s="82"/>
      <c r="BI208" s="82"/>
      <c r="BJ208" s="155"/>
    </row>
    <row r="209" spans="1:63" s="86" customFormat="1" ht="20.100000000000001" customHeight="1" x14ac:dyDescent="0.25">
      <c r="B209" s="377"/>
      <c r="C209" s="362"/>
      <c r="D209" s="374"/>
      <c r="E209" s="374"/>
      <c r="F209" s="362"/>
      <c r="G209" s="362"/>
      <c r="H209" s="374"/>
      <c r="I209" s="380"/>
      <c r="J209" s="380"/>
      <c r="K209" s="80"/>
      <c r="L209" s="80"/>
      <c r="M209" s="365"/>
      <c r="N209" s="362"/>
      <c r="O209" s="362"/>
      <c r="P209" s="365"/>
      <c r="Q209" s="371"/>
      <c r="R209" s="374"/>
      <c r="S209" s="374"/>
      <c r="T209" s="102"/>
      <c r="U209" s="106">
        <f t="shared" si="560"/>
        <v>0</v>
      </c>
      <c r="V209" s="102"/>
      <c r="W209" s="106">
        <f t="shared" si="561"/>
        <v>0</v>
      </c>
      <c r="X209" s="102"/>
      <c r="Y209" s="106">
        <f t="shared" si="562"/>
        <v>0</v>
      </c>
      <c r="Z209" s="102"/>
      <c r="AA209" s="106">
        <f t="shared" si="563"/>
        <v>0</v>
      </c>
      <c r="AB209" s="102"/>
      <c r="AC209" s="106">
        <f t="shared" si="564"/>
        <v>0</v>
      </c>
      <c r="AD209" s="102"/>
      <c r="AE209" s="106">
        <f t="shared" si="565"/>
        <v>0</v>
      </c>
      <c r="AF209" s="102"/>
      <c r="AG209" s="106">
        <f t="shared" si="566"/>
        <v>0</v>
      </c>
      <c r="AH209" s="105">
        <f t="shared" si="537"/>
        <v>0</v>
      </c>
      <c r="AI209" s="105" t="str">
        <f t="shared" ref="AI209:AI210" si="570">IF(AH209&gt;=96,"Fuerte",IF(AH209&gt;=86,"Moderado",IF(AH209&gt;=1,"Débil","")))</f>
        <v/>
      </c>
      <c r="AJ209" s="107"/>
      <c r="AK209" s="105" t="str">
        <f t="shared" si="567"/>
        <v/>
      </c>
      <c r="AL209" s="105" t="str">
        <f t="shared" si="568"/>
        <v/>
      </c>
      <c r="AM209" s="105" t="str">
        <f>IFERROR(VLOOKUP(AL209,[19]FORMULAS!$B$69:$D$77,3,FALSE),"")</f>
        <v/>
      </c>
      <c r="AN209" s="105" t="str">
        <f t="shared" si="569"/>
        <v/>
      </c>
      <c r="AO209" s="105" t="str">
        <f>IFERROR(VLOOKUP(AL209,[19]FORMULAS!$B$69:$C$77,2,FALSE),"")</f>
        <v/>
      </c>
      <c r="AP209" s="359"/>
      <c r="AQ209" s="359"/>
      <c r="AR209" s="356"/>
      <c r="AS209" s="356"/>
      <c r="AT209" s="359"/>
      <c r="AU209" s="359"/>
      <c r="AV209" s="359"/>
      <c r="AW209" s="362"/>
      <c r="AX209" s="362"/>
      <c r="AY209" s="365"/>
      <c r="AZ209" s="368"/>
      <c r="BA209" s="371"/>
      <c r="BB209" s="152"/>
      <c r="BC209" s="82"/>
      <c r="BD209" s="82"/>
      <c r="BE209" s="83"/>
      <c r="BF209" s="85"/>
      <c r="BG209" s="84"/>
      <c r="BH209" s="82"/>
      <c r="BI209" s="82"/>
      <c r="BJ209" s="155"/>
    </row>
    <row r="210" spans="1:63" s="86" customFormat="1" ht="20.100000000000001" customHeight="1" thickBot="1" x14ac:dyDescent="0.3">
      <c r="B210" s="378"/>
      <c r="C210" s="363"/>
      <c r="D210" s="375"/>
      <c r="E210" s="375"/>
      <c r="F210" s="363"/>
      <c r="G210" s="363"/>
      <c r="H210" s="375"/>
      <c r="I210" s="381"/>
      <c r="J210" s="381"/>
      <c r="K210" s="124"/>
      <c r="L210" s="124"/>
      <c r="M210" s="366"/>
      <c r="N210" s="363"/>
      <c r="O210" s="363"/>
      <c r="P210" s="366"/>
      <c r="Q210" s="372"/>
      <c r="R210" s="375"/>
      <c r="S210" s="375"/>
      <c r="T210" s="125"/>
      <c r="U210" s="126">
        <f t="shared" si="560"/>
        <v>0</v>
      </c>
      <c r="V210" s="125"/>
      <c r="W210" s="126">
        <f t="shared" si="561"/>
        <v>0</v>
      </c>
      <c r="X210" s="125"/>
      <c r="Y210" s="126">
        <f t="shared" si="562"/>
        <v>0</v>
      </c>
      <c r="Z210" s="125"/>
      <c r="AA210" s="126">
        <f t="shared" si="563"/>
        <v>0</v>
      </c>
      <c r="AB210" s="125"/>
      <c r="AC210" s="126">
        <f t="shared" si="564"/>
        <v>0</v>
      </c>
      <c r="AD210" s="125"/>
      <c r="AE210" s="126">
        <f t="shared" si="565"/>
        <v>0</v>
      </c>
      <c r="AF210" s="125"/>
      <c r="AG210" s="126">
        <f t="shared" si="566"/>
        <v>0</v>
      </c>
      <c r="AH210" s="129">
        <f t="shared" si="537"/>
        <v>0</v>
      </c>
      <c r="AI210" s="129" t="str">
        <f t="shared" si="570"/>
        <v/>
      </c>
      <c r="AJ210" s="130"/>
      <c r="AK210" s="129" t="str">
        <f t="shared" si="567"/>
        <v/>
      </c>
      <c r="AL210" s="129" t="str">
        <f t="shared" si="568"/>
        <v/>
      </c>
      <c r="AM210" s="129" t="str">
        <f>IFERROR(VLOOKUP(AL210,[19]FORMULAS!$B$69:$D$77,3,FALSE),"")</f>
        <v/>
      </c>
      <c r="AN210" s="129" t="str">
        <f t="shared" si="569"/>
        <v/>
      </c>
      <c r="AO210" s="129" t="str">
        <f>IFERROR(VLOOKUP(AL210,[19]FORMULAS!$B$69:$C$77,2,FALSE),"")</f>
        <v/>
      </c>
      <c r="AP210" s="360"/>
      <c r="AQ210" s="360"/>
      <c r="AR210" s="357"/>
      <c r="AS210" s="357"/>
      <c r="AT210" s="360"/>
      <c r="AU210" s="360"/>
      <c r="AV210" s="360"/>
      <c r="AW210" s="363"/>
      <c r="AX210" s="363"/>
      <c r="AY210" s="366"/>
      <c r="AZ210" s="369"/>
      <c r="BA210" s="372"/>
      <c r="BB210" s="131"/>
      <c r="BC210" s="132"/>
      <c r="BD210" s="132"/>
      <c r="BE210" s="161"/>
      <c r="BF210" s="290"/>
      <c r="BG210" s="139"/>
      <c r="BH210" s="132"/>
      <c r="BI210" s="132"/>
      <c r="BJ210" s="156"/>
    </row>
    <row r="211" spans="1:63" s="86" customFormat="1" ht="20.100000000000001" customHeight="1" x14ac:dyDescent="0.25">
      <c r="B211" s="376" t="s">
        <v>75</v>
      </c>
      <c r="C211" s="361">
        <v>59</v>
      </c>
      <c r="D211" s="373" t="s">
        <v>1175</v>
      </c>
      <c r="E211" s="373" t="s">
        <v>1176</v>
      </c>
      <c r="F211" s="361" t="s">
        <v>90</v>
      </c>
      <c r="G211" s="361" t="s">
        <v>98</v>
      </c>
      <c r="H211" s="373"/>
      <c r="I211" s="379"/>
      <c r="J211" s="379"/>
      <c r="K211" s="468" t="s">
        <v>1177</v>
      </c>
      <c r="L211" s="339" t="s">
        <v>1178</v>
      </c>
      <c r="M211" s="364" t="str">
        <f>IF(F211="gestion","impacto",IF(F211="corrupcion","impactocorrupcion",IF(F211="seguridad_de_la_informacion","impacto","")))</f>
        <v>impactocorrupcion</v>
      </c>
      <c r="N211" s="361" t="s">
        <v>18</v>
      </c>
      <c r="O211" s="361" t="s">
        <v>24</v>
      </c>
      <c r="P211" s="364" t="str">
        <f>N211&amp;O211</f>
        <v>PosibleMayor</v>
      </c>
      <c r="Q211" s="370" t="str">
        <f>IFERROR(VLOOKUP(P211,[19]FORMULAS!$B$37:$C$61,2,FALSE),"")</f>
        <v>Riesgo extremo</v>
      </c>
      <c r="R211" s="343" t="s">
        <v>1179</v>
      </c>
      <c r="S211" s="344"/>
      <c r="T211" s="112" t="s">
        <v>286</v>
      </c>
      <c r="U211" s="113">
        <f>IF(T211="Asignado",15,0)</f>
        <v>15</v>
      </c>
      <c r="V211" s="112" t="s">
        <v>287</v>
      </c>
      <c r="W211" s="113">
        <f>IF(V211="Adecuado",15,0)</f>
        <v>15</v>
      </c>
      <c r="X211" s="112" t="s">
        <v>288</v>
      </c>
      <c r="Y211" s="113">
        <f>IF(X211="Oportuna",15,0)</f>
        <v>15</v>
      </c>
      <c r="Z211" s="112" t="s">
        <v>291</v>
      </c>
      <c r="AA211" s="113">
        <f>IF(Z211="Prevenir",15,IF(Z211="Detectar",10,0))</f>
        <v>15</v>
      </c>
      <c r="AB211" s="112" t="s">
        <v>290</v>
      </c>
      <c r="AC211" s="113">
        <f>IF(AB211="Confiable",15,0)</f>
        <v>15</v>
      </c>
      <c r="AD211" s="112" t="s">
        <v>292</v>
      </c>
      <c r="AE211" s="113">
        <f>IF(AD211="Se investigan y resuelven oportunamente",15,0)</f>
        <v>15</v>
      </c>
      <c r="AF211" s="112" t="s">
        <v>289</v>
      </c>
      <c r="AG211" s="113">
        <f>IF(AF211="Completa",10,IF(AF211="incompleta",5,0))</f>
        <v>10</v>
      </c>
      <c r="AH211" s="116">
        <f t="shared" si="537"/>
        <v>100</v>
      </c>
      <c r="AI211" s="116" t="str">
        <f>IF(AH211&gt;=96,"Fuerte",IF(AH211&gt;=86,"Moderado",IF(AH211&gt;=1,"Débil","")))</f>
        <v>Fuerte</v>
      </c>
      <c r="AJ211" s="117" t="s">
        <v>293</v>
      </c>
      <c r="AK211" s="116" t="str">
        <f>IF(AJ211="Siempre se ejecuta","Fuerte",IF(AJ211="Algunas veces","Moderado",IF(AJ211="no se ejecuta","Débil","")))</f>
        <v>Fuerte</v>
      </c>
      <c r="AL211" s="116" t="str">
        <f>AI211&amp;AK211</f>
        <v>FuerteFuerte</v>
      </c>
      <c r="AM211" s="116" t="str">
        <f>IFERROR(VLOOKUP(AL211,[19]FORMULAS!$B$69:$D$77,3,FALSE),"")</f>
        <v>Fuerte</v>
      </c>
      <c r="AN211" s="116">
        <f>IF(AM211="fuerte",100,IF(AM211="Moderado",50,IF(AM211="débil",0,"")))</f>
        <v>100</v>
      </c>
      <c r="AO211" s="116" t="s">
        <v>154</v>
      </c>
      <c r="AP211" s="358">
        <f>IFERROR(AVERAGE(AN211:AN214),0)</f>
        <v>100</v>
      </c>
      <c r="AQ211" s="358" t="str">
        <f>IF(AP211&gt;=100,"Fuerte",IF(AP211&gt;=50,"Moderado",IF(AP211&gt;=1,"Débil","")))</f>
        <v>Fuerte</v>
      </c>
      <c r="AR211" s="355" t="s">
        <v>160</v>
      </c>
      <c r="AS211" s="355" t="s">
        <v>160</v>
      </c>
      <c r="AT211" s="358" t="str">
        <f>+AQ211&amp;AR211&amp;AS211</f>
        <v>FuerteDirectamenteDirectamente</v>
      </c>
      <c r="AU211" s="358">
        <f>IFERROR(VLOOKUP(AT211,[19]FORMULAS!$B$94:$D$101,2,FALSE),0)</f>
        <v>2</v>
      </c>
      <c r="AV211" s="358">
        <f>IFERROR(VLOOKUP(AT211,[19]FORMULAS!$B$94:$D$101,3,FALSE),0)</f>
        <v>2</v>
      </c>
      <c r="AW211" s="361" t="s">
        <v>18</v>
      </c>
      <c r="AX211" s="361" t="s">
        <v>22</v>
      </c>
      <c r="AY211" s="364" t="str">
        <f>AW211&amp;AX211</f>
        <v>PosibleMenor</v>
      </c>
      <c r="AZ211" s="367" t="str">
        <f>IFERROR(VLOOKUP(AY211,[19]FORMULAS!$B$37:$C$61,2,FALSE),"")</f>
        <v>Riesgo moderado</v>
      </c>
      <c r="BA211" s="370" t="s">
        <v>166</v>
      </c>
      <c r="BB211" s="333" t="s">
        <v>1180</v>
      </c>
      <c r="BC211" s="333" t="s">
        <v>1181</v>
      </c>
      <c r="BD211" s="333" t="s">
        <v>1182</v>
      </c>
      <c r="BE211" s="349" t="s">
        <v>1183</v>
      </c>
      <c r="BF211" s="327" t="s">
        <v>417</v>
      </c>
      <c r="BG211" s="330" t="s">
        <v>366</v>
      </c>
      <c r="BH211" s="333" t="s">
        <v>367</v>
      </c>
      <c r="BI211" s="333" t="s">
        <v>1145</v>
      </c>
      <c r="BJ211" s="336" t="s">
        <v>369</v>
      </c>
    </row>
    <row r="212" spans="1:63" s="86" customFormat="1" ht="20.100000000000001" customHeight="1" x14ac:dyDescent="0.25">
      <c r="B212" s="377"/>
      <c r="C212" s="362"/>
      <c r="D212" s="374"/>
      <c r="E212" s="374"/>
      <c r="F212" s="362"/>
      <c r="G212" s="362"/>
      <c r="H212" s="374"/>
      <c r="I212" s="380"/>
      <c r="J212" s="380"/>
      <c r="K212" s="695"/>
      <c r="L212" s="341"/>
      <c r="M212" s="365"/>
      <c r="N212" s="362"/>
      <c r="O212" s="362"/>
      <c r="P212" s="365"/>
      <c r="Q212" s="371"/>
      <c r="R212" s="345"/>
      <c r="S212" s="346"/>
      <c r="T212" s="102"/>
      <c r="U212" s="106">
        <f t="shared" ref="U212:U214" si="571">IF(T212="Asignado",15,0)</f>
        <v>0</v>
      </c>
      <c r="V212" s="102"/>
      <c r="W212" s="106">
        <f t="shared" ref="W212:W214" si="572">IF(V212="Adecuado",15,0)</f>
        <v>0</v>
      </c>
      <c r="X212" s="102"/>
      <c r="Y212" s="106">
        <f t="shared" ref="Y212:Y214" si="573">IF(X212="Oportuna",15,0)</f>
        <v>0</v>
      </c>
      <c r="Z212" s="102"/>
      <c r="AA212" s="106">
        <f t="shared" ref="AA212:AA214" si="574">IF(Z212="Prevenir",15,IF(Z212="Detectar",10,0))</f>
        <v>0</v>
      </c>
      <c r="AB212" s="102"/>
      <c r="AC212" s="106">
        <f t="shared" ref="AC212:AC214" si="575">IF(AB212="Confiable",15,0)</f>
        <v>0</v>
      </c>
      <c r="AD212" s="102"/>
      <c r="AE212" s="106">
        <f t="shared" ref="AE212:AE214" si="576">IF(AD212="Se investigan y resuelven oportunamente",15,0)</f>
        <v>0</v>
      </c>
      <c r="AF212" s="102"/>
      <c r="AG212" s="106">
        <f t="shared" ref="AG212:AG214" si="577">IF(AF212="Completa",10,IF(AF212="incompleta",5,0))</f>
        <v>0</v>
      </c>
      <c r="AH212" s="105">
        <f t="shared" si="537"/>
        <v>0</v>
      </c>
      <c r="AI212" s="105" t="str">
        <f>IF(AH212&gt;=96,"Fuerte",IF(AH212&gt;=86,"Moderado",IF(AH212&gt;=1,"Débil","")))</f>
        <v/>
      </c>
      <c r="AJ212" s="107"/>
      <c r="AK212" s="105" t="str">
        <f t="shared" ref="AK212:AK214" si="578">IF(AJ212="Siempre se ejecuta","Fuerte",IF(AJ212="Algunas veces","Moderado",IF(AJ212="no se ejecuta","Débil","")))</f>
        <v/>
      </c>
      <c r="AL212" s="105" t="str">
        <f t="shared" ref="AL212:AL214" si="579">AI212&amp;AK212</f>
        <v/>
      </c>
      <c r="AM212" s="105" t="str">
        <f>IFERROR(VLOOKUP(AL212,[19]FORMULAS!$B$69:$D$77,3,FALSE),"")</f>
        <v/>
      </c>
      <c r="AN212" s="105" t="str">
        <f t="shared" ref="AN212:AN214" si="580">IF(AM212="fuerte",100,IF(AM212="Moderado",50,IF(AM212="débil",0,"")))</f>
        <v/>
      </c>
      <c r="AO212" s="105" t="str">
        <f>IFERROR(VLOOKUP(AL212,[19]FORMULAS!$B$69:$C$77,2,FALSE),"")</f>
        <v/>
      </c>
      <c r="AP212" s="359"/>
      <c r="AQ212" s="359"/>
      <c r="AR212" s="356"/>
      <c r="AS212" s="356"/>
      <c r="AT212" s="359"/>
      <c r="AU212" s="359"/>
      <c r="AV212" s="359"/>
      <c r="AW212" s="362"/>
      <c r="AX212" s="362"/>
      <c r="AY212" s="365"/>
      <c r="AZ212" s="368"/>
      <c r="BA212" s="371"/>
      <c r="BB212" s="334"/>
      <c r="BC212" s="334"/>
      <c r="BD212" s="334"/>
      <c r="BE212" s="350"/>
      <c r="BF212" s="328"/>
      <c r="BG212" s="331"/>
      <c r="BH212" s="334"/>
      <c r="BI212" s="334"/>
      <c r="BJ212" s="337"/>
    </row>
    <row r="213" spans="1:63" s="86" customFormat="1" ht="20.100000000000001" customHeight="1" x14ac:dyDescent="0.25">
      <c r="B213" s="377"/>
      <c r="C213" s="362"/>
      <c r="D213" s="374"/>
      <c r="E213" s="374"/>
      <c r="F213" s="362"/>
      <c r="G213" s="362"/>
      <c r="H213" s="374"/>
      <c r="I213" s="380"/>
      <c r="J213" s="380"/>
      <c r="K213" s="695"/>
      <c r="L213" s="341"/>
      <c r="M213" s="365"/>
      <c r="N213" s="362"/>
      <c r="O213" s="362"/>
      <c r="P213" s="365"/>
      <c r="Q213" s="371"/>
      <c r="R213" s="345"/>
      <c r="S213" s="346"/>
      <c r="T213" s="102"/>
      <c r="U213" s="106">
        <f t="shared" si="571"/>
        <v>0</v>
      </c>
      <c r="V213" s="102"/>
      <c r="W213" s="106">
        <f t="shared" si="572"/>
        <v>0</v>
      </c>
      <c r="X213" s="102"/>
      <c r="Y213" s="106">
        <f t="shared" si="573"/>
        <v>0</v>
      </c>
      <c r="Z213" s="102"/>
      <c r="AA213" s="106">
        <f t="shared" si="574"/>
        <v>0</v>
      </c>
      <c r="AB213" s="102"/>
      <c r="AC213" s="106">
        <f t="shared" si="575"/>
        <v>0</v>
      </c>
      <c r="AD213" s="102"/>
      <c r="AE213" s="106">
        <f t="shared" si="576"/>
        <v>0</v>
      </c>
      <c r="AF213" s="102"/>
      <c r="AG213" s="106">
        <f t="shared" si="577"/>
        <v>0</v>
      </c>
      <c r="AH213" s="105">
        <f t="shared" si="537"/>
        <v>0</v>
      </c>
      <c r="AI213" s="105" t="str">
        <f t="shared" ref="AI213:AI214" si="581">IF(AH213&gt;=96,"Fuerte",IF(AH213&gt;=86,"Moderado",IF(AH213&gt;=1,"Débil","")))</f>
        <v/>
      </c>
      <c r="AJ213" s="107"/>
      <c r="AK213" s="105" t="str">
        <f t="shared" si="578"/>
        <v/>
      </c>
      <c r="AL213" s="105" t="str">
        <f t="shared" si="579"/>
        <v/>
      </c>
      <c r="AM213" s="105" t="str">
        <f>IFERROR(VLOOKUP(AL213,[19]FORMULAS!$B$69:$D$77,3,FALSE),"")</f>
        <v/>
      </c>
      <c r="AN213" s="105" t="str">
        <f t="shared" si="580"/>
        <v/>
      </c>
      <c r="AO213" s="105" t="str">
        <f>IFERROR(VLOOKUP(AL213,[19]FORMULAS!$B$69:$C$77,2,FALSE),"")</f>
        <v/>
      </c>
      <c r="AP213" s="359"/>
      <c r="AQ213" s="359"/>
      <c r="AR213" s="356"/>
      <c r="AS213" s="356"/>
      <c r="AT213" s="359"/>
      <c r="AU213" s="359"/>
      <c r="AV213" s="359"/>
      <c r="AW213" s="362"/>
      <c r="AX213" s="362"/>
      <c r="AY213" s="365"/>
      <c r="AZ213" s="368"/>
      <c r="BA213" s="371"/>
      <c r="BB213" s="334"/>
      <c r="BC213" s="334"/>
      <c r="BD213" s="334"/>
      <c r="BE213" s="350"/>
      <c r="BF213" s="328"/>
      <c r="BG213" s="331"/>
      <c r="BH213" s="334"/>
      <c r="BI213" s="334"/>
      <c r="BJ213" s="337"/>
    </row>
    <row r="214" spans="1:63" s="86" customFormat="1" ht="20.100000000000001" customHeight="1" thickBot="1" x14ac:dyDescent="0.3">
      <c r="B214" s="378"/>
      <c r="C214" s="363"/>
      <c r="D214" s="375"/>
      <c r="E214" s="375"/>
      <c r="F214" s="363"/>
      <c r="G214" s="363"/>
      <c r="H214" s="375"/>
      <c r="I214" s="381"/>
      <c r="J214" s="381"/>
      <c r="K214" s="696"/>
      <c r="L214" s="342"/>
      <c r="M214" s="366"/>
      <c r="N214" s="363"/>
      <c r="O214" s="363"/>
      <c r="P214" s="366"/>
      <c r="Q214" s="372"/>
      <c r="R214" s="347"/>
      <c r="S214" s="348"/>
      <c r="T214" s="125"/>
      <c r="U214" s="126">
        <f t="shared" si="571"/>
        <v>0</v>
      </c>
      <c r="V214" s="125"/>
      <c r="W214" s="126">
        <f t="shared" si="572"/>
        <v>0</v>
      </c>
      <c r="X214" s="125"/>
      <c r="Y214" s="126">
        <f t="shared" si="573"/>
        <v>0</v>
      </c>
      <c r="Z214" s="125"/>
      <c r="AA214" s="126">
        <f t="shared" si="574"/>
        <v>0</v>
      </c>
      <c r="AB214" s="125"/>
      <c r="AC214" s="126">
        <f t="shared" si="575"/>
        <v>0</v>
      </c>
      <c r="AD214" s="125"/>
      <c r="AE214" s="126">
        <f t="shared" si="576"/>
        <v>0</v>
      </c>
      <c r="AF214" s="125"/>
      <c r="AG214" s="126">
        <f t="shared" si="577"/>
        <v>0</v>
      </c>
      <c r="AH214" s="129">
        <f t="shared" si="537"/>
        <v>0</v>
      </c>
      <c r="AI214" s="129" t="str">
        <f t="shared" si="581"/>
        <v/>
      </c>
      <c r="AJ214" s="130"/>
      <c r="AK214" s="129" t="str">
        <f t="shared" si="578"/>
        <v/>
      </c>
      <c r="AL214" s="129" t="str">
        <f t="shared" si="579"/>
        <v/>
      </c>
      <c r="AM214" s="129" t="str">
        <f>IFERROR(VLOOKUP(AL214,[19]FORMULAS!$B$69:$D$77,3,FALSE),"")</f>
        <v/>
      </c>
      <c r="AN214" s="129" t="str">
        <f t="shared" si="580"/>
        <v/>
      </c>
      <c r="AO214" s="129" t="str">
        <f>IFERROR(VLOOKUP(AL214,[19]FORMULAS!$B$69:$C$77,2,FALSE),"")</f>
        <v/>
      </c>
      <c r="AP214" s="360"/>
      <c r="AQ214" s="360"/>
      <c r="AR214" s="357"/>
      <c r="AS214" s="357"/>
      <c r="AT214" s="360"/>
      <c r="AU214" s="360"/>
      <c r="AV214" s="360"/>
      <c r="AW214" s="363"/>
      <c r="AX214" s="363"/>
      <c r="AY214" s="366"/>
      <c r="AZ214" s="369"/>
      <c r="BA214" s="372"/>
      <c r="BB214" s="335"/>
      <c r="BC214" s="335"/>
      <c r="BD214" s="335"/>
      <c r="BE214" s="351"/>
      <c r="BF214" s="329"/>
      <c r="BG214" s="332"/>
      <c r="BH214" s="335"/>
      <c r="BI214" s="335"/>
      <c r="BJ214" s="338"/>
    </row>
    <row r="215" spans="1:63" s="86" customFormat="1" ht="48" x14ac:dyDescent="0.25">
      <c r="A215" s="687"/>
      <c r="B215" s="474" t="s">
        <v>84</v>
      </c>
      <c r="C215" s="474">
        <v>60</v>
      </c>
      <c r="D215" s="382" t="s">
        <v>1184</v>
      </c>
      <c r="E215" s="382" t="s">
        <v>1185</v>
      </c>
      <c r="F215" s="474" t="s">
        <v>89</v>
      </c>
      <c r="G215" s="474" t="s">
        <v>96</v>
      </c>
      <c r="H215" s="382" t="s">
        <v>329</v>
      </c>
      <c r="I215" s="380" t="s">
        <v>128</v>
      </c>
      <c r="J215" s="380"/>
      <c r="K215" s="121" t="s">
        <v>1186</v>
      </c>
      <c r="L215" s="382" t="s">
        <v>1187</v>
      </c>
      <c r="M215" s="365" t="str">
        <f>IF(F215="gestion","impacto",IF(F215="corrupcion","impactocorrupcion",IF(F215="seguridad_de_la_informacion","impacto","")))</f>
        <v>impacto</v>
      </c>
      <c r="N215" s="474" t="s">
        <v>19</v>
      </c>
      <c r="O215" s="474" t="s">
        <v>24</v>
      </c>
      <c r="P215" s="365" t="str">
        <f>N215&amp;O215</f>
        <v>ProbableMayor</v>
      </c>
      <c r="Q215" s="477" t="str">
        <f>IFERROR(VLOOKUP(P215,[20]FORMULAS!$B$37:$C$61,2,FALSE),"")</f>
        <v>Riesgo extremo</v>
      </c>
      <c r="R215" s="688" t="s">
        <v>1188</v>
      </c>
      <c r="S215" s="688"/>
      <c r="T215" s="243" t="s">
        <v>286</v>
      </c>
      <c r="U215" s="244">
        <f>IF(T215="Asignado",15,0)</f>
        <v>15</v>
      </c>
      <c r="V215" s="243" t="s">
        <v>287</v>
      </c>
      <c r="W215" s="244">
        <f>IF(V215="Adecuado",15,0)</f>
        <v>15</v>
      </c>
      <c r="X215" s="243" t="s">
        <v>288</v>
      </c>
      <c r="Y215" s="244">
        <f>IF(X215="Oportuna",15,0)</f>
        <v>15</v>
      </c>
      <c r="Z215" s="243" t="s">
        <v>291</v>
      </c>
      <c r="AA215" s="244">
        <f>IF(Z215="Prevenir",15,IF(Z215="Detectar",10,0))</f>
        <v>15</v>
      </c>
      <c r="AB215" s="243" t="s">
        <v>290</v>
      </c>
      <c r="AC215" s="244">
        <f>IF(AB215="Confiable",15,0)</f>
        <v>15</v>
      </c>
      <c r="AD215" s="243" t="s">
        <v>292</v>
      </c>
      <c r="AE215" s="244">
        <f>IF(AD215="Se investigan y resuelven oportunamente",15,0)</f>
        <v>15</v>
      </c>
      <c r="AF215" s="243" t="s">
        <v>289</v>
      </c>
      <c r="AG215" s="244">
        <f>IF(AF215="Completa",10,IF(AF215="incompleta",5,0))</f>
        <v>10</v>
      </c>
      <c r="AH215" s="242">
        <f t="shared" si="537"/>
        <v>100</v>
      </c>
      <c r="AI215" s="242" t="str">
        <f>IF(AH215&gt;=96,"Fuerte",IF(AH215&gt;=86,"Moderado",IF(AH215&gt;=1,"Débil","")))</f>
        <v>Fuerte</v>
      </c>
      <c r="AJ215" s="241" t="s">
        <v>293</v>
      </c>
      <c r="AK215" s="242" t="str">
        <f>IF(AJ215="Siempre se ejecuta","Fuerte",IF(AJ215="Algunas veces","Moderado",IF(AJ215="no se ejecuta","Débil","")))</f>
        <v>Fuerte</v>
      </c>
      <c r="AL215" s="242" t="str">
        <f>AI215&amp;AK215</f>
        <v>FuerteFuerte</v>
      </c>
      <c r="AM215" s="242" t="str">
        <f>IFERROR(VLOOKUP(AL215,[20]FORMULAS!$B$69:$D$77,3,FALSE),"")</f>
        <v>Fuerte</v>
      </c>
      <c r="AN215" s="242">
        <f>IF(AM215="fuerte",100,IF(AM215="Moderado",50,IF(AM215="débil",0,"")))</f>
        <v>100</v>
      </c>
      <c r="AO215" s="242" t="str">
        <f>IFERROR(VLOOKUP(AL215,[20]FORMULAS!$B$69:$D$77,2,FALSE),"")</f>
        <v>No</v>
      </c>
      <c r="AP215" s="473">
        <f>IFERROR(AVERAGE(AN215:AN218),0)</f>
        <v>100</v>
      </c>
      <c r="AQ215" s="473" t="str">
        <f>IF(AP215&gt;=100,"Fuerte",IF(AP215&gt;=50,"Moderado",IF(AP215&gt;=1,"Débil","")))</f>
        <v>Fuerte</v>
      </c>
      <c r="AR215" s="472" t="s">
        <v>160</v>
      </c>
      <c r="AS215" s="472" t="s">
        <v>162</v>
      </c>
      <c r="AT215" s="359" t="str">
        <f>+AQ215&amp;AR215&amp;AS215</f>
        <v>FuerteDirectamenteIndirectamente</v>
      </c>
      <c r="AU215" s="473">
        <f>IFERROR(VLOOKUP(AT215,[20]FORMULAS!$B$94:$D$101,2,FALSE),0)</f>
        <v>2</v>
      </c>
      <c r="AV215" s="473">
        <f>IFERROR(VLOOKUP(AT215,[20]FORMULAS!$B$94:$D$101,3,FALSE),0)</f>
        <v>1</v>
      </c>
      <c r="AW215" s="474" t="s">
        <v>17</v>
      </c>
      <c r="AX215" s="474" t="s">
        <v>23</v>
      </c>
      <c r="AY215" s="365" t="str">
        <f>AW215&amp;AX215</f>
        <v>ImprobableModerado</v>
      </c>
      <c r="AZ215" s="476" t="str">
        <f>IFERROR(VLOOKUP(AY215,[20]FORMULAS!$B$37:$C$61,2,FALSE),"")</f>
        <v>Riesgo moderado</v>
      </c>
      <c r="BA215" s="477" t="s">
        <v>167</v>
      </c>
      <c r="BB215" s="252" t="s">
        <v>1189</v>
      </c>
      <c r="BC215" s="246" t="s">
        <v>1190</v>
      </c>
      <c r="BD215" s="689" t="s">
        <v>1191</v>
      </c>
      <c r="BE215" s="256">
        <v>43770</v>
      </c>
      <c r="BF215" s="254"/>
      <c r="BG215" s="246" t="s">
        <v>1192</v>
      </c>
      <c r="BH215" s="84" t="s">
        <v>1193</v>
      </c>
      <c r="BI215" s="84" t="s">
        <v>872</v>
      </c>
      <c r="BJ215" s="256" t="s">
        <v>1194</v>
      </c>
      <c r="BK215" s="123"/>
    </row>
    <row r="216" spans="1:63" s="86" customFormat="1" ht="63.75" customHeight="1" x14ac:dyDescent="0.25">
      <c r="A216" s="687"/>
      <c r="B216" s="341"/>
      <c r="C216" s="341"/>
      <c r="D216" s="353"/>
      <c r="E216" s="353"/>
      <c r="F216" s="341"/>
      <c r="G216" s="341"/>
      <c r="H216" s="353"/>
      <c r="I216" s="380"/>
      <c r="J216" s="380"/>
      <c r="K216" s="121" t="s">
        <v>1195</v>
      </c>
      <c r="L216" s="353"/>
      <c r="M216" s="365"/>
      <c r="N216" s="341"/>
      <c r="O216" s="341"/>
      <c r="P216" s="365"/>
      <c r="Q216" s="566"/>
      <c r="R216" s="688" t="s">
        <v>1196</v>
      </c>
      <c r="S216" s="688"/>
      <c r="T216" s="243" t="s">
        <v>286</v>
      </c>
      <c r="U216" s="244">
        <f t="shared" ref="U216:U218" si="582">IF(T216="Asignado",15,0)</f>
        <v>15</v>
      </c>
      <c r="V216" s="243" t="s">
        <v>287</v>
      </c>
      <c r="W216" s="244">
        <f t="shared" ref="W216:W218" si="583">IF(V216="Adecuado",15,0)</f>
        <v>15</v>
      </c>
      <c r="X216" s="243" t="s">
        <v>288</v>
      </c>
      <c r="Y216" s="244">
        <f t="shared" ref="Y216:Y218" si="584">IF(X216="Oportuna",15,0)</f>
        <v>15</v>
      </c>
      <c r="Z216" s="243" t="s">
        <v>291</v>
      </c>
      <c r="AA216" s="244">
        <f t="shared" ref="AA216:AA218" si="585">IF(Z216="Prevenir",15,IF(Z216="Detectar",10,0))</f>
        <v>15</v>
      </c>
      <c r="AB216" s="243" t="s">
        <v>290</v>
      </c>
      <c r="AC216" s="244">
        <f t="shared" ref="AC216:AC218" si="586">IF(AB216="Confiable",15,0)</f>
        <v>15</v>
      </c>
      <c r="AD216" s="243" t="s">
        <v>292</v>
      </c>
      <c r="AE216" s="244">
        <f t="shared" ref="AE216:AE218" si="587">IF(AD216="Se investigan y resuelven oportunamente",15,0)</f>
        <v>15</v>
      </c>
      <c r="AF216" s="243" t="s">
        <v>289</v>
      </c>
      <c r="AG216" s="244">
        <f t="shared" ref="AG216:AG218" si="588">IF(AF216="Completa",10,IF(AF216="incompleta",5,0))</f>
        <v>10</v>
      </c>
      <c r="AH216" s="242">
        <f t="shared" si="537"/>
        <v>100</v>
      </c>
      <c r="AI216" s="242" t="str">
        <f>IF(AH216&gt;=96,"Fuerte",IF(AH216&gt;=86,"Moderado",IF(AH216&gt;=1,"Débil","")))</f>
        <v>Fuerte</v>
      </c>
      <c r="AJ216" s="241" t="s">
        <v>293</v>
      </c>
      <c r="AK216" s="242" t="str">
        <f t="shared" ref="AK216:AK218" si="589">IF(AJ216="Siempre se ejecuta","Fuerte",IF(AJ216="Algunas veces","Moderado",IF(AJ216="no se ejecuta","Débil","")))</f>
        <v>Fuerte</v>
      </c>
      <c r="AL216" s="242" t="str">
        <f t="shared" ref="AL216:AL218" si="590">AI216&amp;AK216</f>
        <v>FuerteFuerte</v>
      </c>
      <c r="AM216" s="242" t="str">
        <f>IFERROR(VLOOKUP(AL216,[20]FORMULAS!$B$69:$D$77,3,FALSE),"")</f>
        <v>Fuerte</v>
      </c>
      <c r="AN216" s="242">
        <f t="shared" ref="AN216:AN218" si="591">IF(AM216="fuerte",100,IF(AM216="Moderado",50,IF(AM216="débil",0,"")))</f>
        <v>100</v>
      </c>
      <c r="AO216" s="242" t="str">
        <f>IFERROR(VLOOKUP(AL216,[20]FORMULAS!$B$69:$C$77,2,FALSE),"")</f>
        <v>No</v>
      </c>
      <c r="AP216" s="400"/>
      <c r="AQ216" s="400"/>
      <c r="AR216" s="403"/>
      <c r="AS216" s="403"/>
      <c r="AT216" s="359"/>
      <c r="AU216" s="400"/>
      <c r="AV216" s="400"/>
      <c r="AW216" s="341"/>
      <c r="AX216" s="341"/>
      <c r="AY216" s="365"/>
      <c r="AZ216" s="569"/>
      <c r="BA216" s="566"/>
      <c r="BB216" s="252" t="s">
        <v>1197</v>
      </c>
      <c r="BC216" s="246" t="s">
        <v>1198</v>
      </c>
      <c r="BD216" s="689" t="s">
        <v>1191</v>
      </c>
      <c r="BE216" s="256">
        <v>43770</v>
      </c>
      <c r="BF216" s="254"/>
      <c r="BG216" s="246" t="s">
        <v>1199</v>
      </c>
      <c r="BH216" s="84" t="s">
        <v>1200</v>
      </c>
      <c r="BI216" s="246" t="s">
        <v>1201</v>
      </c>
      <c r="BJ216" s="256" t="s">
        <v>1194</v>
      </c>
      <c r="BK216" s="123"/>
    </row>
    <row r="217" spans="1:63" s="86" customFormat="1" ht="43.5" customHeight="1" x14ac:dyDescent="0.25">
      <c r="A217" s="687"/>
      <c r="B217" s="341"/>
      <c r="C217" s="341"/>
      <c r="D217" s="353"/>
      <c r="E217" s="353"/>
      <c r="F217" s="341"/>
      <c r="G217" s="341"/>
      <c r="H217" s="353"/>
      <c r="I217" s="380" t="s">
        <v>129</v>
      </c>
      <c r="J217" s="380" t="s">
        <v>113</v>
      </c>
      <c r="K217" s="121" t="s">
        <v>1202</v>
      </c>
      <c r="L217" s="353"/>
      <c r="M217" s="365" t="str">
        <f>IF(F217="gestion","impacto",IF(F217="corrupcion","impactocorrupcion",IF(F217="seguridad_de_la_informacion","impacto","")))</f>
        <v/>
      </c>
      <c r="N217" s="341"/>
      <c r="O217" s="341"/>
      <c r="P217" s="365" t="str">
        <f>N217&amp;O217</f>
        <v/>
      </c>
      <c r="Q217" s="566"/>
      <c r="R217" s="688" t="s">
        <v>1205</v>
      </c>
      <c r="S217" s="688"/>
      <c r="T217" s="243" t="s">
        <v>286</v>
      </c>
      <c r="U217" s="244">
        <f t="shared" si="582"/>
        <v>15</v>
      </c>
      <c r="V217" s="243" t="s">
        <v>287</v>
      </c>
      <c r="W217" s="244">
        <f t="shared" si="583"/>
        <v>15</v>
      </c>
      <c r="X217" s="243" t="s">
        <v>288</v>
      </c>
      <c r="Y217" s="244">
        <f t="shared" si="584"/>
        <v>15</v>
      </c>
      <c r="Z217" s="243" t="s">
        <v>291</v>
      </c>
      <c r="AA217" s="244">
        <f t="shared" si="585"/>
        <v>15</v>
      </c>
      <c r="AB217" s="243" t="s">
        <v>290</v>
      </c>
      <c r="AC217" s="244">
        <f t="shared" si="586"/>
        <v>15</v>
      </c>
      <c r="AD217" s="243" t="s">
        <v>292</v>
      </c>
      <c r="AE217" s="244">
        <f t="shared" si="587"/>
        <v>15</v>
      </c>
      <c r="AF217" s="243" t="s">
        <v>289</v>
      </c>
      <c r="AG217" s="244">
        <f t="shared" si="588"/>
        <v>10</v>
      </c>
      <c r="AH217" s="242">
        <f t="shared" si="537"/>
        <v>100</v>
      </c>
      <c r="AI217" s="242" t="str">
        <f t="shared" ref="AI217:AI218" si="592">IF(AH217&gt;=96,"Fuerte",IF(AH217&gt;=86,"Moderado",IF(AH217&gt;=1,"Débil","")))</f>
        <v>Fuerte</v>
      </c>
      <c r="AJ217" s="241" t="s">
        <v>293</v>
      </c>
      <c r="AK217" s="242" t="str">
        <f t="shared" si="589"/>
        <v>Fuerte</v>
      </c>
      <c r="AL217" s="242" t="str">
        <f t="shared" si="590"/>
        <v>FuerteFuerte</v>
      </c>
      <c r="AM217" s="242" t="str">
        <f>IFERROR(VLOOKUP(AL217,[21]FORMULAS!$B$69:$D$77,3,FALSE),"")</f>
        <v>Fuerte</v>
      </c>
      <c r="AN217" s="242">
        <f t="shared" si="591"/>
        <v>100</v>
      </c>
      <c r="AO217" s="242" t="str">
        <f>IFERROR(VLOOKUP(AL217,[21]FORMULAS!$B$69:$C$77,2,FALSE),"")</f>
        <v>No</v>
      </c>
      <c r="AP217" s="400"/>
      <c r="AQ217" s="400"/>
      <c r="AR217" s="403"/>
      <c r="AS217" s="403"/>
      <c r="AT217" s="359" t="str">
        <f>+AQ217&amp;AR217&amp;AS217</f>
        <v/>
      </c>
      <c r="AU217" s="400"/>
      <c r="AV217" s="400"/>
      <c r="AW217" s="341"/>
      <c r="AX217" s="341"/>
      <c r="AY217" s="365" t="str">
        <f>AW217&amp;AX217</f>
        <v/>
      </c>
      <c r="AZ217" s="569"/>
      <c r="BA217" s="566"/>
      <c r="BB217" s="252" t="s">
        <v>1206</v>
      </c>
      <c r="BC217" s="246" t="s">
        <v>1190</v>
      </c>
      <c r="BD217" s="689" t="s">
        <v>1191</v>
      </c>
      <c r="BE217" s="256">
        <v>43800</v>
      </c>
      <c r="BF217" s="254"/>
      <c r="BG217" s="246" t="s">
        <v>1207</v>
      </c>
      <c r="BH217" s="246" t="s">
        <v>1208</v>
      </c>
      <c r="BI217" s="246" t="s">
        <v>1209</v>
      </c>
      <c r="BJ217" s="256" t="s">
        <v>1194</v>
      </c>
      <c r="BK217" s="123"/>
    </row>
    <row r="218" spans="1:63" s="86" customFormat="1" ht="39" customHeight="1" x14ac:dyDescent="0.25">
      <c r="A218" s="687"/>
      <c r="B218" s="341"/>
      <c r="C218" s="341"/>
      <c r="D218" s="353"/>
      <c r="E218" s="353"/>
      <c r="F218" s="341"/>
      <c r="G218" s="341"/>
      <c r="H218" s="353"/>
      <c r="I218" s="380"/>
      <c r="J218" s="380"/>
      <c r="K218" s="690" t="s">
        <v>1203</v>
      </c>
      <c r="L218" s="383"/>
      <c r="M218" s="365"/>
      <c r="N218" s="340"/>
      <c r="O218" s="340"/>
      <c r="P218" s="365"/>
      <c r="Q218" s="691"/>
      <c r="R218" s="688" t="s">
        <v>1204</v>
      </c>
      <c r="S218" s="688"/>
      <c r="T218" s="243" t="s">
        <v>286</v>
      </c>
      <c r="U218" s="244">
        <f t="shared" si="582"/>
        <v>15</v>
      </c>
      <c r="V218" s="243" t="s">
        <v>287</v>
      </c>
      <c r="W218" s="244">
        <f t="shared" si="583"/>
        <v>15</v>
      </c>
      <c r="X218" s="243" t="s">
        <v>288</v>
      </c>
      <c r="Y218" s="244">
        <f t="shared" si="584"/>
        <v>15</v>
      </c>
      <c r="Z218" s="243" t="s">
        <v>291</v>
      </c>
      <c r="AA218" s="244">
        <f t="shared" si="585"/>
        <v>15</v>
      </c>
      <c r="AB218" s="243" t="s">
        <v>290</v>
      </c>
      <c r="AC218" s="244">
        <f t="shared" si="586"/>
        <v>15</v>
      </c>
      <c r="AD218" s="243" t="s">
        <v>292</v>
      </c>
      <c r="AE218" s="244">
        <f t="shared" si="587"/>
        <v>15</v>
      </c>
      <c r="AF218" s="243" t="s">
        <v>289</v>
      </c>
      <c r="AG218" s="244">
        <f t="shared" si="588"/>
        <v>10</v>
      </c>
      <c r="AH218" s="242">
        <f t="shared" si="537"/>
        <v>100</v>
      </c>
      <c r="AI218" s="242" t="str">
        <f t="shared" si="592"/>
        <v>Fuerte</v>
      </c>
      <c r="AJ218" s="241" t="s">
        <v>293</v>
      </c>
      <c r="AK218" s="242" t="str">
        <f t="shared" si="589"/>
        <v>Fuerte</v>
      </c>
      <c r="AL218" s="242" t="str">
        <f t="shared" si="590"/>
        <v>FuerteFuerte</v>
      </c>
      <c r="AM218" s="242" t="str">
        <f>IFERROR(VLOOKUP(AL218,[21]FORMULAS!$B$69:$D$77,3,FALSE),"")</f>
        <v>Fuerte</v>
      </c>
      <c r="AN218" s="242">
        <f t="shared" si="591"/>
        <v>100</v>
      </c>
      <c r="AO218" s="242" t="str">
        <f>IFERROR(VLOOKUP(AL218,[21]FORMULAS!$B$69:$C$77,2,FALSE),"")</f>
        <v>No</v>
      </c>
      <c r="AP218" s="692"/>
      <c r="AQ218" s="692"/>
      <c r="AR218" s="693"/>
      <c r="AS218" s="693"/>
      <c r="AT218" s="359"/>
      <c r="AU218" s="692"/>
      <c r="AV218" s="692"/>
      <c r="AW218" s="340"/>
      <c r="AX218" s="340"/>
      <c r="AY218" s="365"/>
      <c r="AZ218" s="694"/>
      <c r="BA218" s="691"/>
      <c r="BB218" s="252" t="s">
        <v>1210</v>
      </c>
      <c r="BC218" s="246" t="s">
        <v>1198</v>
      </c>
      <c r="BD218" s="689" t="s">
        <v>1191</v>
      </c>
      <c r="BE218" s="256">
        <v>43800</v>
      </c>
      <c r="BF218" s="254"/>
      <c r="BG218" s="246" t="s">
        <v>1211</v>
      </c>
      <c r="BH218" s="84" t="s">
        <v>1212</v>
      </c>
      <c r="BI218" s="84" t="s">
        <v>1209</v>
      </c>
      <c r="BJ218" s="256" t="s">
        <v>1194</v>
      </c>
      <c r="BK218" s="123"/>
    </row>
    <row r="219" spans="1:63" s="86" customFormat="1" ht="49.5" customHeight="1" x14ac:dyDescent="0.25">
      <c r="A219" s="687"/>
      <c r="B219" s="362" t="s">
        <v>84</v>
      </c>
      <c r="C219" s="362">
        <v>61</v>
      </c>
      <c r="D219" s="374" t="s">
        <v>1213</v>
      </c>
      <c r="E219" s="374" t="s">
        <v>1214</v>
      </c>
      <c r="F219" s="362" t="s">
        <v>91</v>
      </c>
      <c r="G219" s="362" t="s">
        <v>100</v>
      </c>
      <c r="H219" s="374" t="s">
        <v>1215</v>
      </c>
      <c r="I219" s="380" t="s">
        <v>129</v>
      </c>
      <c r="J219" s="380" t="s">
        <v>113</v>
      </c>
      <c r="K219" s="169" t="s">
        <v>1216</v>
      </c>
      <c r="L219" s="382" t="s">
        <v>1217</v>
      </c>
      <c r="M219" s="365" t="str">
        <f>IF(F219="gestion","impacto",IF(F219="corrupcion","impactocorrupcion",IF(F219="seguridad_de_la_informacion","impacto","")))</f>
        <v>impacto</v>
      </c>
      <c r="N219" s="362" t="s">
        <v>18</v>
      </c>
      <c r="O219" s="362" t="s">
        <v>24</v>
      </c>
      <c r="P219" s="365" t="str">
        <f>N219&amp;O219</f>
        <v>PosibleMayor</v>
      </c>
      <c r="Q219" s="371" t="str">
        <f>IFERROR(VLOOKUP(P219,[20]FORMULAS!$B$37:$C$61,2,FALSE),"")</f>
        <v>Riesgo extremo</v>
      </c>
      <c r="R219" s="688" t="s">
        <v>1218</v>
      </c>
      <c r="S219" s="688"/>
      <c r="T219" s="243" t="s">
        <v>286</v>
      </c>
      <c r="U219" s="244">
        <f>IF(T219="Asignado",15,0)</f>
        <v>15</v>
      </c>
      <c r="V219" s="243" t="s">
        <v>287</v>
      </c>
      <c r="W219" s="244">
        <f>IF(V219="Adecuado",15,0)</f>
        <v>15</v>
      </c>
      <c r="X219" s="243" t="s">
        <v>288</v>
      </c>
      <c r="Y219" s="244">
        <f>IF(X219="Oportuna",15,0)</f>
        <v>15</v>
      </c>
      <c r="Z219" s="243" t="s">
        <v>291</v>
      </c>
      <c r="AA219" s="244">
        <f>IF(Z219="Prevenir",15,IF(Z219="Detectar",10,0))</f>
        <v>15</v>
      </c>
      <c r="AB219" s="243" t="s">
        <v>290</v>
      </c>
      <c r="AC219" s="244">
        <f>IF(AB219="Confiable",15,0)</f>
        <v>15</v>
      </c>
      <c r="AD219" s="243" t="s">
        <v>292</v>
      </c>
      <c r="AE219" s="244">
        <f>IF(AD219="Se investigan y resuelven oportunamente",15,0)</f>
        <v>15</v>
      </c>
      <c r="AF219" s="243" t="s">
        <v>289</v>
      </c>
      <c r="AG219" s="244">
        <f>IF(AF219="Completa",10,IF(AF219="incompleta",5,0))</f>
        <v>10</v>
      </c>
      <c r="AH219" s="242">
        <f t="shared" si="537"/>
        <v>100</v>
      </c>
      <c r="AI219" s="242" t="str">
        <f>IF(AH219&gt;=96,"Fuerte",IF(AH219&gt;=86,"Moderado",IF(AH219&gt;=1,"Débil","")))</f>
        <v>Fuerte</v>
      </c>
      <c r="AJ219" s="241" t="s">
        <v>293</v>
      </c>
      <c r="AK219" s="242" t="str">
        <f>IF(AJ219="Siempre se ejecuta","Fuerte",IF(AJ219="Algunas veces","Moderado",IF(AJ219="no se ejecuta","Débil","")))</f>
        <v>Fuerte</v>
      </c>
      <c r="AL219" s="242" t="str">
        <f>AI219&amp;AK219</f>
        <v>FuerteFuerte</v>
      </c>
      <c r="AM219" s="242" t="str">
        <f>IFERROR(VLOOKUP(AL219,[20]FORMULAS!$B$69:$D$77,3,FALSE),"")</f>
        <v>Fuerte</v>
      </c>
      <c r="AN219" s="242">
        <f>IF(AM219="fuerte",100,IF(AM219="Moderado",50,IF(AM219="débil",0,"")))</f>
        <v>100</v>
      </c>
      <c r="AO219" s="242" t="str">
        <f>IFERROR(VLOOKUP(AL219,[20]FORMULAS!$B$69:$D$77,2,FALSE),"")</f>
        <v>No</v>
      </c>
      <c r="AP219" s="359">
        <f>IFERROR(AVERAGE(AN219:AN220),0)</f>
        <v>100</v>
      </c>
      <c r="AQ219" s="359" t="str">
        <f>IF(AP219&gt;=100,"Fuerte",IF(AP219&gt;=50,"Moderado",IF(AP219&gt;=1,"Débil","")))</f>
        <v>Fuerte</v>
      </c>
      <c r="AR219" s="356" t="s">
        <v>160</v>
      </c>
      <c r="AS219" s="356" t="s">
        <v>162</v>
      </c>
      <c r="AT219" s="359" t="str">
        <f>+AQ219&amp;AR219&amp;AS219</f>
        <v>FuerteDirectamenteIndirectamente</v>
      </c>
      <c r="AU219" s="359">
        <f>IFERROR(VLOOKUP(AT219,[20]FORMULAS!$B$94:$D$101,2,FALSE),0)</f>
        <v>2</v>
      </c>
      <c r="AV219" s="359">
        <f>IFERROR(VLOOKUP(AT219,[20]FORMULAS!$B$94:$D$101,3,FALSE),0)</f>
        <v>1</v>
      </c>
      <c r="AW219" s="362" t="s">
        <v>18</v>
      </c>
      <c r="AX219" s="362" t="s">
        <v>22</v>
      </c>
      <c r="AY219" s="365" t="str">
        <f>AW219&amp;AX219</f>
        <v>PosibleMenor</v>
      </c>
      <c r="AZ219" s="368" t="str">
        <f>IFERROR(VLOOKUP(AY219,[20]FORMULAS!$B$37:$C$61,2,FALSE),"")</f>
        <v>Riesgo moderado</v>
      </c>
      <c r="BA219" s="371" t="s">
        <v>169</v>
      </c>
      <c r="BB219" s="252" t="s">
        <v>1219</v>
      </c>
      <c r="BC219" s="84" t="s">
        <v>1220</v>
      </c>
      <c r="BD219" s="246" t="s">
        <v>1221</v>
      </c>
      <c r="BE219" s="256">
        <v>43800</v>
      </c>
      <c r="BF219" s="254"/>
      <c r="BG219" s="84" t="s">
        <v>1222</v>
      </c>
      <c r="BH219" s="84" t="s">
        <v>1223</v>
      </c>
      <c r="BI219" s="84" t="s">
        <v>1224</v>
      </c>
      <c r="BJ219" s="256" t="s">
        <v>1194</v>
      </c>
      <c r="BK219" s="123"/>
    </row>
    <row r="220" spans="1:63" s="86" customFormat="1" ht="62.25" customHeight="1" thickBot="1" x14ac:dyDescent="0.3">
      <c r="A220" s="697"/>
      <c r="B220" s="363"/>
      <c r="C220" s="363"/>
      <c r="D220" s="375"/>
      <c r="E220" s="375"/>
      <c r="F220" s="363"/>
      <c r="G220" s="363"/>
      <c r="H220" s="375"/>
      <c r="I220" s="381"/>
      <c r="J220" s="381"/>
      <c r="K220" s="183" t="s">
        <v>1225</v>
      </c>
      <c r="L220" s="354"/>
      <c r="M220" s="366"/>
      <c r="N220" s="363"/>
      <c r="O220" s="363"/>
      <c r="P220" s="366"/>
      <c r="Q220" s="372"/>
      <c r="R220" s="698" t="s">
        <v>1226</v>
      </c>
      <c r="S220" s="698"/>
      <c r="T220" s="240" t="s">
        <v>286</v>
      </c>
      <c r="U220" s="237">
        <f t="shared" ref="U220" si="593">IF(T220="Asignado",15,0)</f>
        <v>15</v>
      </c>
      <c r="V220" s="240" t="s">
        <v>287</v>
      </c>
      <c r="W220" s="237">
        <f t="shared" ref="W220" si="594">IF(V220="Adecuado",15,0)</f>
        <v>15</v>
      </c>
      <c r="X220" s="240" t="s">
        <v>288</v>
      </c>
      <c r="Y220" s="237">
        <f t="shared" ref="Y220" si="595">IF(X220="Oportuna",15,0)</f>
        <v>15</v>
      </c>
      <c r="Z220" s="240" t="s">
        <v>291</v>
      </c>
      <c r="AA220" s="237">
        <f t="shared" ref="AA220" si="596">IF(Z220="Prevenir",15,IF(Z220="Detectar",10,0))</f>
        <v>15</v>
      </c>
      <c r="AB220" s="240" t="s">
        <v>290</v>
      </c>
      <c r="AC220" s="237">
        <f t="shared" ref="AC220" si="597">IF(AB220="Confiable",15,0)</f>
        <v>15</v>
      </c>
      <c r="AD220" s="240" t="s">
        <v>292</v>
      </c>
      <c r="AE220" s="237">
        <f t="shared" ref="AE220" si="598">IF(AD220="Se investigan y resuelven oportunamente",15,0)</f>
        <v>15</v>
      </c>
      <c r="AF220" s="240" t="s">
        <v>289</v>
      </c>
      <c r="AG220" s="237">
        <f t="shared" ref="AG220" si="599">IF(AF220="Completa",10,IF(AF220="incompleta",5,0))</f>
        <v>10</v>
      </c>
      <c r="AH220" s="238">
        <f t="shared" si="537"/>
        <v>100</v>
      </c>
      <c r="AI220" s="238" t="str">
        <f>IF(AH220&gt;=96,"Fuerte",IF(AH220&gt;=86,"Moderado",IF(AH220&gt;=1,"Débil","")))</f>
        <v>Fuerte</v>
      </c>
      <c r="AJ220" s="239" t="s">
        <v>293</v>
      </c>
      <c r="AK220" s="238" t="str">
        <f t="shared" ref="AK220" si="600">IF(AJ220="Siempre se ejecuta","Fuerte",IF(AJ220="Algunas veces","Moderado",IF(AJ220="no se ejecuta","Débil","")))</f>
        <v>Fuerte</v>
      </c>
      <c r="AL220" s="238" t="str">
        <f t="shared" ref="AL220" si="601">AI220&amp;AK220</f>
        <v>FuerteFuerte</v>
      </c>
      <c r="AM220" s="238" t="str">
        <f>IFERROR(VLOOKUP(AL220,[20]FORMULAS!$B$69:$D$77,3,FALSE),"")</f>
        <v>Fuerte</v>
      </c>
      <c r="AN220" s="238">
        <f t="shared" ref="AN220" si="602">IF(AM220="fuerte",100,IF(AM220="Moderado",50,IF(AM220="débil",0,"")))</f>
        <v>100</v>
      </c>
      <c r="AO220" s="238" t="str">
        <f>IFERROR(VLOOKUP(AL220,[20]FORMULAS!$B$69:$C$77,2,FALSE),"")</f>
        <v>No</v>
      </c>
      <c r="AP220" s="360"/>
      <c r="AQ220" s="360"/>
      <c r="AR220" s="357"/>
      <c r="AS220" s="357"/>
      <c r="AT220" s="360"/>
      <c r="AU220" s="360"/>
      <c r="AV220" s="360"/>
      <c r="AW220" s="363"/>
      <c r="AX220" s="363"/>
      <c r="AY220" s="366"/>
      <c r="AZ220" s="369"/>
      <c r="BA220" s="372"/>
      <c r="BB220" s="274" t="s">
        <v>1227</v>
      </c>
      <c r="BC220" s="139" t="s">
        <v>1228</v>
      </c>
      <c r="BD220" s="699" t="s">
        <v>1191</v>
      </c>
      <c r="BE220" s="305">
        <v>43800</v>
      </c>
      <c r="BF220" s="254"/>
      <c r="BG220" s="247" t="s">
        <v>1229</v>
      </c>
      <c r="BH220" s="139" t="s">
        <v>1193</v>
      </c>
      <c r="BI220" s="139" t="s">
        <v>1230</v>
      </c>
      <c r="BJ220" s="305" t="s">
        <v>1194</v>
      </c>
      <c r="BK220" s="193"/>
    </row>
    <row r="221" spans="1:63" s="86" customFormat="1" ht="99.75" customHeight="1" x14ac:dyDescent="0.25">
      <c r="B221" s="362" t="s">
        <v>81</v>
      </c>
      <c r="C221" s="362">
        <v>62</v>
      </c>
      <c r="D221" s="374" t="s">
        <v>1231</v>
      </c>
      <c r="E221" s="700" t="s">
        <v>1232</v>
      </c>
      <c r="F221" s="362" t="s">
        <v>348</v>
      </c>
      <c r="G221" s="362" t="s">
        <v>94</v>
      </c>
      <c r="H221" s="374" t="s">
        <v>532</v>
      </c>
      <c r="I221" s="380"/>
      <c r="J221" s="380"/>
      <c r="K221" s="121" t="s">
        <v>1233</v>
      </c>
      <c r="L221" s="701" t="s">
        <v>1234</v>
      </c>
      <c r="M221" s="365" t="str">
        <f>IF(F221="gestion","impacto",IF(F221="corrupcion","impactocorrupcion",IF(F221="seguridad_de_la_informacion","impacto","")))</f>
        <v/>
      </c>
      <c r="N221" s="362" t="s">
        <v>18</v>
      </c>
      <c r="O221" s="362" t="s">
        <v>23</v>
      </c>
      <c r="P221" s="365" t="str">
        <f>N221&amp;O221</f>
        <v>PosibleModerado</v>
      </c>
      <c r="Q221" s="371" t="str">
        <f>IFERROR(VLOOKUP(P221,[22]FORMULAS!$B$37:$C$61,2,FALSE),"")</f>
        <v>Riesgo alto</v>
      </c>
      <c r="R221" s="700" t="s">
        <v>1235</v>
      </c>
      <c r="S221" s="700"/>
      <c r="T221" s="243" t="s">
        <v>286</v>
      </c>
      <c r="U221" s="244">
        <f>IF(T221="Asignado",15,0)</f>
        <v>15</v>
      </c>
      <c r="V221" s="243" t="s">
        <v>287</v>
      </c>
      <c r="W221" s="244">
        <f>IF(V221="Adecuado",15,0)</f>
        <v>15</v>
      </c>
      <c r="X221" s="243" t="s">
        <v>288</v>
      </c>
      <c r="Y221" s="244">
        <f>IF(X221="Oportuna",15,0)</f>
        <v>15</v>
      </c>
      <c r="Z221" s="243" t="s">
        <v>291</v>
      </c>
      <c r="AA221" s="244">
        <f>IF(Z221="Prevenir",15,IF(Z221="Detectar",10,0))</f>
        <v>15</v>
      </c>
      <c r="AB221" s="243" t="s">
        <v>290</v>
      </c>
      <c r="AC221" s="244">
        <f>IF(AB221="Confiable",15,0)</f>
        <v>15</v>
      </c>
      <c r="AD221" s="243" t="s">
        <v>292</v>
      </c>
      <c r="AE221" s="244">
        <f>IF(AD221="Se investigan y resuelven oportunamente",15,0)</f>
        <v>15</v>
      </c>
      <c r="AF221" s="243" t="s">
        <v>289</v>
      </c>
      <c r="AG221" s="244">
        <f>IF(AF221="Completa",10,IF(AF221="incompleta",5,0))</f>
        <v>10</v>
      </c>
      <c r="AH221" s="242">
        <f>U221+W221+Y221+AA221+AC221+AE221+AG221</f>
        <v>100</v>
      </c>
      <c r="AI221" s="242" t="str">
        <f>IF(AH221&gt;=96,"Fuerte",IF(AH221&gt;=86,"Moderado",IF(AH221&gt;=1,"Débil","")))</f>
        <v>Fuerte</v>
      </c>
      <c r="AJ221" s="241" t="s">
        <v>293</v>
      </c>
      <c r="AK221" s="242" t="str">
        <f>IF(AJ221="Siempre se ejecuta","Fuerte",IF(AJ221="Algunas veces","Moderado",IF(AJ221="no se ejecuta","Débil","")))</f>
        <v>Fuerte</v>
      </c>
      <c r="AL221" s="242" t="str">
        <f>AI221&amp;AK221</f>
        <v>FuerteFuerte</v>
      </c>
      <c r="AM221" s="242" t="str">
        <f>IFERROR(VLOOKUP(AL221,[22]FORMULAS!$B$69:$D$77,3,FALSE),"")</f>
        <v>Fuerte</v>
      </c>
      <c r="AN221" s="242">
        <f>IF(AM221="fuerte",100,IF(AM221="Moderado",50,IF(AM221="débil",0,"")))</f>
        <v>100</v>
      </c>
      <c r="AO221" s="242" t="s">
        <v>1236</v>
      </c>
      <c r="AP221" s="359">
        <f>IFERROR(AVERAGE(AN221:AN224),0)</f>
        <v>100</v>
      </c>
      <c r="AQ221" s="359" t="str">
        <f>IF(AP221&gt;=100,"Fuerte",IF(AP221&gt;=50,"Moderado",IF(AP221&gt;=1,"Débil","")))</f>
        <v>Fuerte</v>
      </c>
      <c r="AR221" s="356" t="s">
        <v>160</v>
      </c>
      <c r="AS221" s="356" t="s">
        <v>162</v>
      </c>
      <c r="AT221" s="359" t="str">
        <f>+AQ221&amp;AR221&amp;AS221</f>
        <v>FuerteDirectamenteIndirectamente</v>
      </c>
      <c r="AU221" s="359">
        <v>1</v>
      </c>
      <c r="AV221" s="359">
        <v>0</v>
      </c>
      <c r="AW221" s="362" t="s">
        <v>17</v>
      </c>
      <c r="AX221" s="362" t="s">
        <v>23</v>
      </c>
      <c r="AY221" s="365" t="str">
        <f>AW221&amp;AX221</f>
        <v>ImprobableModerado</v>
      </c>
      <c r="AZ221" s="368" t="str">
        <f>IFERROR(VLOOKUP(AY221,[22]FORMULAS!$B$37:$C$61,2,FALSE),"")</f>
        <v>Riesgo moderado</v>
      </c>
      <c r="BA221" s="371" t="s">
        <v>167</v>
      </c>
      <c r="BB221" s="141" t="s">
        <v>1237</v>
      </c>
      <c r="BC221" s="246" t="s">
        <v>1238</v>
      </c>
      <c r="BD221" s="245" t="s">
        <v>1239</v>
      </c>
      <c r="BE221" s="256" t="s">
        <v>1240</v>
      </c>
      <c r="BF221" s="386" t="s">
        <v>1241</v>
      </c>
      <c r="BG221" s="384" t="s">
        <v>1242</v>
      </c>
      <c r="BH221" s="477" t="s">
        <v>1243</v>
      </c>
      <c r="BI221" s="477" t="s">
        <v>1244</v>
      </c>
      <c r="BJ221" s="386" t="s">
        <v>1245</v>
      </c>
    </row>
    <row r="222" spans="1:63" s="86" customFormat="1" ht="145.5" customHeight="1" x14ac:dyDescent="0.25">
      <c r="B222" s="362"/>
      <c r="C222" s="362"/>
      <c r="D222" s="374"/>
      <c r="E222" s="700"/>
      <c r="F222" s="362"/>
      <c r="G222" s="362"/>
      <c r="H222" s="374"/>
      <c r="I222" s="380"/>
      <c r="J222" s="380"/>
      <c r="K222" s="121" t="s">
        <v>1246</v>
      </c>
      <c r="L222" s="702"/>
      <c r="M222" s="365"/>
      <c r="N222" s="362"/>
      <c r="O222" s="362"/>
      <c r="P222" s="365"/>
      <c r="Q222" s="371"/>
      <c r="R222" s="700" t="s">
        <v>1247</v>
      </c>
      <c r="S222" s="700"/>
      <c r="T222" s="243" t="s">
        <v>286</v>
      </c>
      <c r="U222" s="244">
        <f t="shared" ref="U222:U224" si="603">IF(T222="Asignado",15,0)</f>
        <v>15</v>
      </c>
      <c r="V222" s="243" t="s">
        <v>287</v>
      </c>
      <c r="W222" s="244">
        <f t="shared" ref="W222:W224" si="604">IF(V222="Adecuado",15,0)</f>
        <v>15</v>
      </c>
      <c r="X222" s="243" t="s">
        <v>288</v>
      </c>
      <c r="Y222" s="244">
        <f t="shared" ref="Y222:Y224" si="605">IF(X222="Oportuna",15,0)</f>
        <v>15</v>
      </c>
      <c r="Z222" s="243" t="s">
        <v>291</v>
      </c>
      <c r="AA222" s="244">
        <f t="shared" ref="AA222:AA224" si="606">IF(Z222="Prevenir",15,IF(Z222="Detectar",10,0))</f>
        <v>15</v>
      </c>
      <c r="AB222" s="243" t="s">
        <v>290</v>
      </c>
      <c r="AC222" s="244">
        <f t="shared" ref="AC222:AC224" si="607">IF(AB222="Confiable",15,0)</f>
        <v>15</v>
      </c>
      <c r="AD222" s="243" t="s">
        <v>292</v>
      </c>
      <c r="AE222" s="244">
        <f t="shared" ref="AE222:AE224" si="608">IF(AD222="Se investigan y resuelven oportunamente",15,0)</f>
        <v>15</v>
      </c>
      <c r="AF222" s="243" t="s">
        <v>289</v>
      </c>
      <c r="AG222" s="244">
        <f t="shared" ref="AG222:AG224" si="609">IF(AF222="Completa",10,IF(AF222="incompleta",5,0))</f>
        <v>10</v>
      </c>
      <c r="AH222" s="242">
        <f t="shared" ref="AH222:AH224" si="610">U222+W222+Y222+AA222+AC222+AE222+AG222</f>
        <v>100</v>
      </c>
      <c r="AI222" s="242" t="str">
        <f>IF(AH222&gt;=96,"Fuerte",IF(AH222&gt;=86,"Moderado",IF(AH222&gt;=1,"Débil","")))</f>
        <v>Fuerte</v>
      </c>
      <c r="AJ222" s="241" t="s">
        <v>293</v>
      </c>
      <c r="AK222" s="242" t="str">
        <f t="shared" ref="AK222:AK224" si="611">IF(AJ222="Siempre se ejecuta","Fuerte",IF(AJ222="Algunas veces","Moderado",IF(AJ222="no se ejecuta","Débil","")))</f>
        <v>Fuerte</v>
      </c>
      <c r="AL222" s="242" t="str">
        <f t="shared" ref="AL222:AL224" si="612">AI222&amp;AK222</f>
        <v>FuerteFuerte</v>
      </c>
      <c r="AM222" s="242" t="str">
        <f>IFERROR(VLOOKUP(AL222,[22]FORMULAS!$B$69:$D$77,3,FALSE),"")</f>
        <v>Fuerte</v>
      </c>
      <c r="AN222" s="242">
        <f t="shared" ref="AN222:AN224" si="613">IF(AM222="fuerte",100,IF(AM222="Moderado",50,IF(AM222="débil",0,"")))</f>
        <v>100</v>
      </c>
      <c r="AO222" s="242" t="s">
        <v>1236</v>
      </c>
      <c r="AP222" s="359"/>
      <c r="AQ222" s="359"/>
      <c r="AR222" s="356"/>
      <c r="AS222" s="356"/>
      <c r="AT222" s="359"/>
      <c r="AU222" s="359"/>
      <c r="AV222" s="359"/>
      <c r="AW222" s="362"/>
      <c r="AX222" s="362"/>
      <c r="AY222" s="365"/>
      <c r="AZ222" s="368"/>
      <c r="BA222" s="371"/>
      <c r="BB222" s="141" t="s">
        <v>1248</v>
      </c>
      <c r="BC222" s="246" t="s">
        <v>1249</v>
      </c>
      <c r="BD222" s="245" t="s">
        <v>1250</v>
      </c>
      <c r="BE222" s="256" t="s">
        <v>1240</v>
      </c>
      <c r="BF222" s="350"/>
      <c r="BG222" s="334"/>
      <c r="BH222" s="566"/>
      <c r="BI222" s="566"/>
      <c r="BJ222" s="350"/>
    </row>
    <row r="223" spans="1:63" s="86" customFormat="1" ht="108.75" customHeight="1" x14ac:dyDescent="0.25">
      <c r="B223" s="362"/>
      <c r="C223" s="362"/>
      <c r="D223" s="374"/>
      <c r="E223" s="700"/>
      <c r="F223" s="362"/>
      <c r="G223" s="362"/>
      <c r="H223" s="374"/>
      <c r="I223" s="380"/>
      <c r="J223" s="380"/>
      <c r="K223" s="121" t="s">
        <v>1251</v>
      </c>
      <c r="L223" s="702"/>
      <c r="M223" s="365"/>
      <c r="N223" s="362"/>
      <c r="O223" s="362"/>
      <c r="P223" s="365"/>
      <c r="Q223" s="371"/>
      <c r="R223" s="700" t="s">
        <v>1252</v>
      </c>
      <c r="S223" s="700"/>
      <c r="T223" s="243" t="s">
        <v>286</v>
      </c>
      <c r="U223" s="244">
        <f t="shared" si="603"/>
        <v>15</v>
      </c>
      <c r="V223" s="243" t="s">
        <v>287</v>
      </c>
      <c r="W223" s="244">
        <f t="shared" si="604"/>
        <v>15</v>
      </c>
      <c r="X223" s="243" t="s">
        <v>288</v>
      </c>
      <c r="Y223" s="244">
        <f t="shared" si="605"/>
        <v>15</v>
      </c>
      <c r="Z223" s="243" t="s">
        <v>291</v>
      </c>
      <c r="AA223" s="244">
        <f t="shared" si="606"/>
        <v>15</v>
      </c>
      <c r="AB223" s="243" t="s">
        <v>290</v>
      </c>
      <c r="AC223" s="244">
        <f t="shared" si="607"/>
        <v>15</v>
      </c>
      <c r="AD223" s="243" t="s">
        <v>292</v>
      </c>
      <c r="AE223" s="244">
        <f t="shared" si="608"/>
        <v>15</v>
      </c>
      <c r="AF223" s="243" t="s">
        <v>289</v>
      </c>
      <c r="AG223" s="244">
        <f t="shared" si="609"/>
        <v>10</v>
      </c>
      <c r="AH223" s="242">
        <f t="shared" si="610"/>
        <v>100</v>
      </c>
      <c r="AI223" s="242" t="str">
        <f t="shared" ref="AI223:AI224" si="614">IF(AH223&gt;=96,"Fuerte",IF(AH223&gt;=86,"Moderado",IF(AH223&gt;=1,"Débil","")))</f>
        <v>Fuerte</v>
      </c>
      <c r="AJ223" s="241" t="s">
        <v>293</v>
      </c>
      <c r="AK223" s="242" t="str">
        <f t="shared" si="611"/>
        <v>Fuerte</v>
      </c>
      <c r="AL223" s="242" t="str">
        <f t="shared" si="612"/>
        <v>FuerteFuerte</v>
      </c>
      <c r="AM223" s="242" t="str">
        <f>IFERROR(VLOOKUP(AL223,[22]FORMULAS!$B$69:$D$77,3,FALSE),"")</f>
        <v>Fuerte</v>
      </c>
      <c r="AN223" s="242">
        <f t="shared" si="613"/>
        <v>100</v>
      </c>
      <c r="AO223" s="242" t="s">
        <v>1236</v>
      </c>
      <c r="AP223" s="359"/>
      <c r="AQ223" s="359"/>
      <c r="AR223" s="356"/>
      <c r="AS223" s="356"/>
      <c r="AT223" s="359"/>
      <c r="AU223" s="359"/>
      <c r="AV223" s="359"/>
      <c r="AW223" s="362"/>
      <c r="AX223" s="362"/>
      <c r="AY223" s="365"/>
      <c r="AZ223" s="368"/>
      <c r="BA223" s="371"/>
      <c r="BB223" s="141" t="s">
        <v>1253</v>
      </c>
      <c r="BC223" s="246" t="s">
        <v>1254</v>
      </c>
      <c r="BD223" s="245" t="s">
        <v>1239</v>
      </c>
      <c r="BE223" s="256" t="s">
        <v>1240</v>
      </c>
      <c r="BF223" s="350"/>
      <c r="BG223" s="334"/>
      <c r="BH223" s="566"/>
      <c r="BI223" s="566"/>
      <c r="BJ223" s="350"/>
    </row>
    <row r="224" spans="1:63" s="86" customFormat="1" ht="111" customHeight="1" x14ac:dyDescent="0.25">
      <c r="B224" s="362"/>
      <c r="C224" s="362"/>
      <c r="D224" s="374"/>
      <c r="E224" s="700"/>
      <c r="F224" s="362"/>
      <c r="G224" s="362"/>
      <c r="H224" s="374"/>
      <c r="I224" s="380"/>
      <c r="J224" s="380"/>
      <c r="K224" s="121" t="s">
        <v>1255</v>
      </c>
      <c r="L224" s="703"/>
      <c r="M224" s="365"/>
      <c r="N224" s="362"/>
      <c r="O224" s="362"/>
      <c r="P224" s="365"/>
      <c r="Q224" s="371"/>
      <c r="R224" s="700" t="s">
        <v>1256</v>
      </c>
      <c r="S224" s="700"/>
      <c r="T224" s="243" t="s">
        <v>286</v>
      </c>
      <c r="U224" s="244">
        <f t="shared" si="603"/>
        <v>15</v>
      </c>
      <c r="V224" s="243" t="s">
        <v>287</v>
      </c>
      <c r="W224" s="244">
        <f t="shared" si="604"/>
        <v>15</v>
      </c>
      <c r="X224" s="243" t="s">
        <v>288</v>
      </c>
      <c r="Y224" s="244">
        <f t="shared" si="605"/>
        <v>15</v>
      </c>
      <c r="Z224" s="243" t="s">
        <v>291</v>
      </c>
      <c r="AA224" s="244">
        <f t="shared" si="606"/>
        <v>15</v>
      </c>
      <c r="AB224" s="243" t="s">
        <v>290</v>
      </c>
      <c r="AC224" s="244">
        <f t="shared" si="607"/>
        <v>15</v>
      </c>
      <c r="AD224" s="243" t="s">
        <v>292</v>
      </c>
      <c r="AE224" s="244">
        <f t="shared" si="608"/>
        <v>15</v>
      </c>
      <c r="AF224" s="243" t="s">
        <v>289</v>
      </c>
      <c r="AG224" s="244">
        <f t="shared" si="609"/>
        <v>10</v>
      </c>
      <c r="AH224" s="242">
        <f t="shared" si="610"/>
        <v>100</v>
      </c>
      <c r="AI224" s="242" t="str">
        <f t="shared" si="614"/>
        <v>Fuerte</v>
      </c>
      <c r="AJ224" s="241" t="s">
        <v>293</v>
      </c>
      <c r="AK224" s="242" t="str">
        <f t="shared" si="611"/>
        <v>Fuerte</v>
      </c>
      <c r="AL224" s="242" t="str">
        <f t="shared" si="612"/>
        <v>FuerteFuerte</v>
      </c>
      <c r="AM224" s="242" t="str">
        <f>IFERROR(VLOOKUP(AL224,[22]FORMULAS!$B$69:$D$77,3,FALSE),"")</f>
        <v>Fuerte</v>
      </c>
      <c r="AN224" s="242">
        <f t="shared" si="613"/>
        <v>100</v>
      </c>
      <c r="AO224" s="242" t="s">
        <v>1236</v>
      </c>
      <c r="AP224" s="359"/>
      <c r="AQ224" s="359"/>
      <c r="AR224" s="356"/>
      <c r="AS224" s="356"/>
      <c r="AT224" s="359"/>
      <c r="AU224" s="359"/>
      <c r="AV224" s="359"/>
      <c r="AW224" s="362"/>
      <c r="AX224" s="362"/>
      <c r="AY224" s="365"/>
      <c r="AZ224" s="368"/>
      <c r="BA224" s="371"/>
      <c r="BB224" s="704" t="s">
        <v>1257</v>
      </c>
      <c r="BC224" s="246" t="s">
        <v>1258</v>
      </c>
      <c r="BD224" s="245" t="s">
        <v>1239</v>
      </c>
      <c r="BE224" s="246" t="s">
        <v>1240</v>
      </c>
      <c r="BF224" s="387"/>
      <c r="BG224" s="385"/>
      <c r="BH224" s="691"/>
      <c r="BI224" s="691"/>
      <c r="BJ224" s="387"/>
    </row>
    <row r="225" spans="2:62" s="86" customFormat="1" ht="108" customHeight="1" x14ac:dyDescent="0.25">
      <c r="B225" s="362" t="s">
        <v>81</v>
      </c>
      <c r="C225" s="362">
        <v>63</v>
      </c>
      <c r="D225" s="700" t="s">
        <v>1259</v>
      </c>
      <c r="E225" s="700" t="s">
        <v>1260</v>
      </c>
      <c r="F225" s="362" t="s">
        <v>745</v>
      </c>
      <c r="G225" s="362" t="s">
        <v>98</v>
      </c>
      <c r="H225" s="374" t="s">
        <v>532</v>
      </c>
      <c r="I225" s="380"/>
      <c r="J225" s="380"/>
      <c r="K225" s="690" t="s">
        <v>1261</v>
      </c>
      <c r="L225" s="701" t="s">
        <v>1262</v>
      </c>
      <c r="M225" s="365" t="str">
        <f>IF(F225="gestion","impacto",IF(F225="corrupcion","impactocorrupcion",IF(F225="seguridad_de_la_informacion","impacto","")))</f>
        <v/>
      </c>
      <c r="N225" s="362" t="s">
        <v>134</v>
      </c>
      <c r="O225" s="362" t="s">
        <v>24</v>
      </c>
      <c r="P225" s="365" t="str">
        <f>N225&amp;O225</f>
        <v>Rara vezMayor</v>
      </c>
      <c r="Q225" s="371" t="str">
        <f>IFERROR(VLOOKUP(P225,[22]FORMULAS!$B$37:$C$61,2,FALSE),"")</f>
        <v>Riesgo alto</v>
      </c>
      <c r="R225" s="700" t="s">
        <v>1263</v>
      </c>
      <c r="S225" s="700"/>
      <c r="T225" s="243" t="s">
        <v>286</v>
      </c>
      <c r="U225" s="244">
        <f>IF(T225="Asignado",15,0)</f>
        <v>15</v>
      </c>
      <c r="V225" s="243" t="s">
        <v>287</v>
      </c>
      <c r="W225" s="244">
        <f>IF(V225="Adecuado",15,0)</f>
        <v>15</v>
      </c>
      <c r="X225" s="243" t="s">
        <v>288</v>
      </c>
      <c r="Y225" s="244">
        <f>IF(X225="Oportuna",15,0)</f>
        <v>15</v>
      </c>
      <c r="Z225" s="243" t="s">
        <v>291</v>
      </c>
      <c r="AA225" s="244">
        <f>IF(Z225="Prevenir",15,IF(Z225="Detectar",10,0))</f>
        <v>15</v>
      </c>
      <c r="AB225" s="243" t="s">
        <v>290</v>
      </c>
      <c r="AC225" s="244">
        <f>IF(AB225="Confiable",15,0)</f>
        <v>15</v>
      </c>
      <c r="AD225" s="243" t="s">
        <v>292</v>
      </c>
      <c r="AE225" s="244">
        <f>IF(AD225="Se investigan y resuelven oportunamente",15,0)</f>
        <v>15</v>
      </c>
      <c r="AF225" s="243" t="s">
        <v>289</v>
      </c>
      <c r="AG225" s="244">
        <f>IF(AF225="Completa",10,IF(AF225="incompleta",5,0))</f>
        <v>10</v>
      </c>
      <c r="AH225" s="242">
        <f>U225+W225+Y225+AA225+AC225+AE225+AG225</f>
        <v>100</v>
      </c>
      <c r="AI225" s="242" t="str">
        <f>IF(AH225&gt;=96,"Fuerte",IF(AH225&gt;=86,"Moderado",IF(AH225&gt;=1,"Débil","")))</f>
        <v>Fuerte</v>
      </c>
      <c r="AJ225" s="241" t="s">
        <v>293</v>
      </c>
      <c r="AK225" s="242" t="str">
        <f>IF(AJ225="Siempre se ejecuta","Fuerte",IF(AJ225="Algunas veces","Moderado",IF(AJ225="no se ejecuta","Débil","")))</f>
        <v>Fuerte</v>
      </c>
      <c r="AL225" s="242" t="str">
        <f>AI225&amp;AK225</f>
        <v>FuerteFuerte</v>
      </c>
      <c r="AM225" s="242" t="str">
        <f>IFERROR(VLOOKUP(AL225,[22]FORMULAS!$B$69:$D$77,3,FALSE),"")</f>
        <v>Fuerte</v>
      </c>
      <c r="AN225" s="242">
        <f>IF(AM225="fuerte",100,IF(AM225="Moderado",50,IF(AM225="débil",0,"")))</f>
        <v>100</v>
      </c>
      <c r="AO225" s="242" t="s">
        <v>1264</v>
      </c>
      <c r="AP225" s="359">
        <f>IFERROR(AVERAGE(AN225:AN226),0)</f>
        <v>100</v>
      </c>
      <c r="AQ225" s="359" t="str">
        <f>IF(AP225&gt;=100,"Fuerte",IF(AP225&gt;=50,"Moderado",IF(AP225&gt;=1,"Débil","")))</f>
        <v>Fuerte</v>
      </c>
      <c r="AR225" s="356" t="s">
        <v>160</v>
      </c>
      <c r="AS225" s="356" t="s">
        <v>162</v>
      </c>
      <c r="AT225" s="359" t="str">
        <f>+AQ225&amp;AR225&amp;AS225</f>
        <v>FuerteDirectamenteIndirectamente</v>
      </c>
      <c r="AU225" s="359">
        <v>1</v>
      </c>
      <c r="AV225" s="359">
        <v>1</v>
      </c>
      <c r="AW225" s="362" t="s">
        <v>17</v>
      </c>
      <c r="AX225" s="362" t="s">
        <v>23</v>
      </c>
      <c r="AY225" s="365" t="str">
        <f>AW225&amp;AX225</f>
        <v>ImprobableModerado</v>
      </c>
      <c r="AZ225" s="368" t="str">
        <f>IFERROR(VLOOKUP(AY225,[22]FORMULAS!$B$37:$C$61,2,FALSE),"")</f>
        <v>Riesgo moderado</v>
      </c>
      <c r="BA225" s="371" t="s">
        <v>167</v>
      </c>
      <c r="BB225" s="704" t="s">
        <v>1265</v>
      </c>
      <c r="BC225" s="246" t="s">
        <v>1266</v>
      </c>
      <c r="BD225" s="245" t="s">
        <v>1239</v>
      </c>
      <c r="BE225" s="256" t="s">
        <v>1267</v>
      </c>
      <c r="BF225" s="386" t="s">
        <v>1241</v>
      </c>
      <c r="BG225" s="384" t="s">
        <v>1268</v>
      </c>
      <c r="BH225" s="477" t="s">
        <v>1269</v>
      </c>
      <c r="BI225" s="477" t="s">
        <v>1270</v>
      </c>
      <c r="BJ225" s="386" t="s">
        <v>1245</v>
      </c>
    </row>
    <row r="226" spans="2:62" s="86" customFormat="1" ht="56.25" customHeight="1" x14ac:dyDescent="0.25">
      <c r="B226" s="362"/>
      <c r="C226" s="362"/>
      <c r="D226" s="700"/>
      <c r="E226" s="700"/>
      <c r="F226" s="362"/>
      <c r="G226" s="362"/>
      <c r="H226" s="374"/>
      <c r="I226" s="380"/>
      <c r="J226" s="380"/>
      <c r="K226" s="121" t="s">
        <v>1271</v>
      </c>
      <c r="L226" s="702"/>
      <c r="M226" s="365"/>
      <c r="N226" s="362"/>
      <c r="O226" s="362"/>
      <c r="P226" s="365"/>
      <c r="Q226" s="371"/>
      <c r="R226" s="700" t="s">
        <v>1272</v>
      </c>
      <c r="S226" s="700"/>
      <c r="T226" s="243" t="s">
        <v>286</v>
      </c>
      <c r="U226" s="244">
        <f t="shared" ref="U226" si="615">IF(T226="Asignado",15,0)</f>
        <v>15</v>
      </c>
      <c r="V226" s="243" t="s">
        <v>287</v>
      </c>
      <c r="W226" s="244">
        <f t="shared" ref="W226" si="616">IF(V226="Adecuado",15,0)</f>
        <v>15</v>
      </c>
      <c r="X226" s="243" t="s">
        <v>288</v>
      </c>
      <c r="Y226" s="244">
        <f t="shared" ref="Y226" si="617">IF(X226="Oportuna",15,0)</f>
        <v>15</v>
      </c>
      <c r="Z226" s="243" t="s">
        <v>291</v>
      </c>
      <c r="AA226" s="244">
        <f t="shared" ref="AA226" si="618">IF(Z226="Prevenir",15,IF(Z226="Detectar",10,0))</f>
        <v>15</v>
      </c>
      <c r="AB226" s="243" t="s">
        <v>290</v>
      </c>
      <c r="AC226" s="244">
        <f t="shared" ref="AC226" si="619">IF(AB226="Confiable",15,0)</f>
        <v>15</v>
      </c>
      <c r="AD226" s="243" t="s">
        <v>292</v>
      </c>
      <c r="AE226" s="244">
        <f t="shared" ref="AE226" si="620">IF(AD226="Se investigan y resuelven oportunamente",15,0)</f>
        <v>15</v>
      </c>
      <c r="AF226" s="243" t="s">
        <v>289</v>
      </c>
      <c r="AG226" s="244">
        <f t="shared" ref="AG226" si="621">IF(AF226="Completa",10,IF(AF226="incompleta",5,0))</f>
        <v>10</v>
      </c>
      <c r="AH226" s="242">
        <f t="shared" ref="AH226" si="622">U226+W226+Y226+AA226+AC226+AE226+AG226</f>
        <v>100</v>
      </c>
      <c r="AI226" s="242" t="str">
        <f>IF(AH226&gt;=96,"Fuerte",IF(AH226&gt;=86,"Moderado",IF(AH226&gt;=1,"Débil","")))</f>
        <v>Fuerte</v>
      </c>
      <c r="AJ226" s="241" t="s">
        <v>293</v>
      </c>
      <c r="AK226" s="242" t="str">
        <f t="shared" ref="AK226" si="623">IF(AJ226="Siempre se ejecuta","Fuerte",IF(AJ226="Algunas veces","Moderado",IF(AJ226="no se ejecuta","Débil","")))</f>
        <v>Fuerte</v>
      </c>
      <c r="AL226" s="242" t="str">
        <f t="shared" ref="AL226" si="624">AI226&amp;AK226</f>
        <v>FuerteFuerte</v>
      </c>
      <c r="AM226" s="242" t="str">
        <f>IFERROR(VLOOKUP(AL226,[22]FORMULAS!$B$69:$D$77,3,FALSE),"")</f>
        <v>Fuerte</v>
      </c>
      <c r="AN226" s="242">
        <f t="shared" ref="AN226" si="625">IF(AM226="fuerte",100,IF(AM226="Moderado",50,IF(AM226="débil",0,"")))</f>
        <v>100</v>
      </c>
      <c r="AO226" s="242" t="s">
        <v>1264</v>
      </c>
      <c r="AP226" s="359"/>
      <c r="AQ226" s="359"/>
      <c r="AR226" s="356"/>
      <c r="AS226" s="356"/>
      <c r="AT226" s="359"/>
      <c r="AU226" s="359"/>
      <c r="AV226" s="359"/>
      <c r="AW226" s="362"/>
      <c r="AX226" s="362"/>
      <c r="AY226" s="365"/>
      <c r="AZ226" s="368"/>
      <c r="BA226" s="371"/>
      <c r="BB226" s="141" t="s">
        <v>1273</v>
      </c>
      <c r="BC226" s="246" t="s">
        <v>1274</v>
      </c>
      <c r="BD226" s="245" t="s">
        <v>1239</v>
      </c>
      <c r="BE226" s="256" t="s">
        <v>1275</v>
      </c>
      <c r="BF226" s="350"/>
      <c r="BG226" s="385"/>
      <c r="BH226" s="691"/>
      <c r="BI226" s="691"/>
      <c r="BJ226" s="387"/>
    </row>
    <row r="227" spans="2:62" s="86" customFormat="1" ht="58.5" customHeight="1" x14ac:dyDescent="0.25">
      <c r="B227" s="474" t="s">
        <v>81</v>
      </c>
      <c r="C227" s="474">
        <v>64</v>
      </c>
      <c r="D227" s="701" t="s">
        <v>1276</v>
      </c>
      <c r="E227" s="701" t="s">
        <v>1277</v>
      </c>
      <c r="F227" s="474" t="s">
        <v>91</v>
      </c>
      <c r="G227" s="474" t="s">
        <v>100</v>
      </c>
      <c r="H227" s="382" t="s">
        <v>1278</v>
      </c>
      <c r="I227" s="380" t="s">
        <v>124</v>
      </c>
      <c r="J227" s="380" t="s">
        <v>106</v>
      </c>
      <c r="K227" s="701" t="s">
        <v>1279</v>
      </c>
      <c r="L227" s="701" t="s">
        <v>1280</v>
      </c>
      <c r="M227" s="244" t="str">
        <f>IF(F227="gestion","impacto",IF(F227="corrupcion","impactocorrupcion",IF(F227="seguridad_de_la_informacion","impacto","")))</f>
        <v>impacto</v>
      </c>
      <c r="N227" s="474" t="s">
        <v>134</v>
      </c>
      <c r="O227" s="474" t="s">
        <v>23</v>
      </c>
      <c r="P227" s="244" t="str">
        <f>N227&amp;O227</f>
        <v>Rara vezModerado</v>
      </c>
      <c r="Q227" s="477" t="str">
        <f>IFERROR(VLOOKUP(P227,[22]FORMULAS!$B$37:$C$61,2,FALSE),"")</f>
        <v>Riesgo moderado</v>
      </c>
      <c r="R227" s="700" t="s">
        <v>1281</v>
      </c>
      <c r="S227" s="700"/>
      <c r="T227" s="474" t="s">
        <v>286</v>
      </c>
      <c r="U227" s="244">
        <f>IF(T227="Asignado",15,0)</f>
        <v>15</v>
      </c>
      <c r="V227" s="474" t="s">
        <v>287</v>
      </c>
      <c r="W227" s="244">
        <f>IF(V227="Adecuado",15,0)</f>
        <v>15</v>
      </c>
      <c r="X227" s="474" t="s">
        <v>288</v>
      </c>
      <c r="Y227" s="244">
        <f>IF(X227="Oportuna",15,0)</f>
        <v>15</v>
      </c>
      <c r="Z227" s="474" t="s">
        <v>291</v>
      </c>
      <c r="AA227" s="244">
        <f>IF(Z227="Prevenir",15,IF(Z227="Detectar",10,0))</f>
        <v>15</v>
      </c>
      <c r="AB227" s="474" t="s">
        <v>290</v>
      </c>
      <c r="AC227" s="244">
        <f>IF(AB227="Confiable",15,0)</f>
        <v>15</v>
      </c>
      <c r="AD227" s="474" t="s">
        <v>292</v>
      </c>
      <c r="AE227" s="244">
        <f>IF(AD227="Se investigan y resuelven oportunamente",15,0)</f>
        <v>15</v>
      </c>
      <c r="AF227" s="474" t="s">
        <v>289</v>
      </c>
      <c r="AG227" s="244">
        <f>IF(AF227="Completa",10,IF(AF227="incompleta",5,0))</f>
        <v>10</v>
      </c>
      <c r="AH227" s="473">
        <f>U227+W227+Y227+AA227+AC227+AE227+AG227</f>
        <v>100</v>
      </c>
      <c r="AI227" s="473" t="str">
        <f>IF(AH227&gt;=96,"Fuerte",IF(AH227&gt;=86,"Moderado",IF(AH227&gt;=1,"Débil","")))</f>
        <v>Fuerte</v>
      </c>
      <c r="AJ227" s="472" t="s">
        <v>293</v>
      </c>
      <c r="AK227" s="473" t="str">
        <f>IF(AJ227="Siempre se ejecuta","Fuerte",IF(AJ227="Algunas veces","Moderado",IF(AJ227="no se ejecuta","Débil","")))</f>
        <v>Fuerte</v>
      </c>
      <c r="AL227" s="242" t="str">
        <f>AI227&amp;AK227</f>
        <v>FuerteFuerte</v>
      </c>
      <c r="AM227" s="473" t="str">
        <f>IFERROR(VLOOKUP(AL227,[22]FORMULAS!$B$69:$D$77,3,FALSE),"")</f>
        <v>Fuerte</v>
      </c>
      <c r="AN227" s="473">
        <f>IF(AM227="fuerte",100,IF(AM227="Moderado",50,IF(AM227="débil",0,"")))</f>
        <v>100</v>
      </c>
      <c r="AO227" s="473" t="s">
        <v>1264</v>
      </c>
      <c r="AP227" s="473">
        <f>IFERROR(AVERAGE(AN227:AN227),0)</f>
        <v>100</v>
      </c>
      <c r="AQ227" s="473" t="str">
        <f>IF(AP227&gt;=100,"Fuerte",IF(AP227&gt;=50,"Moderado",IF(AP227&gt;=1,"Débil","")))</f>
        <v>Fuerte</v>
      </c>
      <c r="AR227" s="472" t="s">
        <v>160</v>
      </c>
      <c r="AS227" s="472" t="s">
        <v>162</v>
      </c>
      <c r="AT227" s="242" t="str">
        <f>+AQ227&amp;AR227&amp;AS227</f>
        <v>FuerteDirectamenteIndirectamente</v>
      </c>
      <c r="AU227" s="473">
        <v>1</v>
      </c>
      <c r="AV227" s="473">
        <v>0</v>
      </c>
      <c r="AW227" s="474" t="s">
        <v>17</v>
      </c>
      <c r="AX227" s="474" t="s">
        <v>23</v>
      </c>
      <c r="AY227" s="244" t="str">
        <f>AW227&amp;AX227</f>
        <v>ImprobableModerado</v>
      </c>
      <c r="AZ227" s="476" t="str">
        <f>IFERROR(VLOOKUP(AY227,[22]FORMULAS!$B$37:$C$61,2,FALSE),"")</f>
        <v>Riesgo moderado</v>
      </c>
      <c r="BA227" s="477" t="s">
        <v>167</v>
      </c>
      <c r="BB227" s="141" t="s">
        <v>1282</v>
      </c>
      <c r="BC227" s="246" t="s">
        <v>1283</v>
      </c>
      <c r="BD227" s="245" t="s">
        <v>1239</v>
      </c>
      <c r="BE227" s="246" t="s">
        <v>1284</v>
      </c>
      <c r="BF227" s="255" t="s">
        <v>1241</v>
      </c>
      <c r="BG227" s="384" t="s">
        <v>1268</v>
      </c>
      <c r="BH227" s="477" t="s">
        <v>1269</v>
      </c>
      <c r="BI227" s="477" t="s">
        <v>1270</v>
      </c>
      <c r="BJ227" s="386" t="s">
        <v>1245</v>
      </c>
    </row>
    <row r="228" spans="2:62" s="86" customFormat="1" ht="27" customHeight="1" x14ac:dyDescent="0.25">
      <c r="B228" s="340"/>
      <c r="C228" s="340"/>
      <c r="D228" s="703"/>
      <c r="E228" s="703"/>
      <c r="F228" s="340"/>
      <c r="G228" s="340"/>
      <c r="H228" s="383"/>
      <c r="I228" s="380"/>
      <c r="J228" s="380"/>
      <c r="K228" s="703"/>
      <c r="L228" s="703"/>
      <c r="M228" s="244"/>
      <c r="N228" s="340"/>
      <c r="O228" s="340"/>
      <c r="P228" s="244"/>
      <c r="Q228" s="691"/>
      <c r="R228" s="705" t="s">
        <v>1285</v>
      </c>
      <c r="S228" s="706"/>
      <c r="T228" s="340"/>
      <c r="U228" s="244"/>
      <c r="V228" s="340"/>
      <c r="W228" s="244"/>
      <c r="X228" s="340"/>
      <c r="Y228" s="244"/>
      <c r="Z228" s="340"/>
      <c r="AA228" s="244"/>
      <c r="AB228" s="340"/>
      <c r="AC228" s="244"/>
      <c r="AD228" s="340"/>
      <c r="AE228" s="244"/>
      <c r="AF228" s="340"/>
      <c r="AG228" s="244"/>
      <c r="AH228" s="692"/>
      <c r="AI228" s="692"/>
      <c r="AJ228" s="693"/>
      <c r="AK228" s="692"/>
      <c r="AL228" s="242"/>
      <c r="AM228" s="692"/>
      <c r="AN228" s="692"/>
      <c r="AO228" s="692"/>
      <c r="AP228" s="692"/>
      <c r="AQ228" s="692"/>
      <c r="AR228" s="693"/>
      <c r="AS228" s="693"/>
      <c r="AT228" s="242"/>
      <c r="AU228" s="692"/>
      <c r="AV228" s="692"/>
      <c r="AW228" s="340"/>
      <c r="AX228" s="340"/>
      <c r="AY228" s="244"/>
      <c r="AZ228" s="694"/>
      <c r="BA228" s="691"/>
      <c r="BB228" s="141" t="s">
        <v>1286</v>
      </c>
      <c r="BC228" s="246" t="s">
        <v>1266</v>
      </c>
      <c r="BD228" s="245" t="s">
        <v>1287</v>
      </c>
      <c r="BE228" s="246" t="s">
        <v>1284</v>
      </c>
      <c r="BF228" s="254"/>
      <c r="BG228" s="385"/>
      <c r="BH228" s="691"/>
      <c r="BI228" s="691"/>
      <c r="BJ228" s="387"/>
    </row>
    <row r="229" spans="2:62" s="86" customFormat="1" ht="94.5" customHeight="1" x14ac:dyDescent="0.25">
      <c r="B229" s="362" t="s">
        <v>81</v>
      </c>
      <c r="C229" s="362">
        <v>65</v>
      </c>
      <c r="D229" s="701" t="s">
        <v>1288</v>
      </c>
      <c r="E229" s="700" t="s">
        <v>1289</v>
      </c>
      <c r="F229" s="362" t="s">
        <v>91</v>
      </c>
      <c r="G229" s="362" t="s">
        <v>99</v>
      </c>
      <c r="H229" s="382" t="s">
        <v>1278</v>
      </c>
      <c r="I229" s="380" t="s">
        <v>131</v>
      </c>
      <c r="J229" s="707" t="s">
        <v>122</v>
      </c>
      <c r="K229" s="701" t="s">
        <v>1290</v>
      </c>
      <c r="L229" s="701" t="s">
        <v>1291</v>
      </c>
      <c r="M229" s="365" t="str">
        <f>IF(F229="gestion","impacto",IF(F229="corrupcion","impactocorrupcion",IF(F229="seguridad_de_la_informacion","impacto","")))</f>
        <v>impacto</v>
      </c>
      <c r="N229" s="362" t="s">
        <v>134</v>
      </c>
      <c r="O229" s="362" t="s">
        <v>23</v>
      </c>
      <c r="P229" s="365" t="str">
        <f>N229&amp;O229</f>
        <v>Rara vezModerado</v>
      </c>
      <c r="Q229" s="371" t="str">
        <f>IFERROR(VLOOKUP(P229,[22]FORMULAS!$B$37:$C$61,2,FALSE),"")</f>
        <v>Riesgo moderado</v>
      </c>
      <c r="R229" s="708" t="s">
        <v>1292</v>
      </c>
      <c r="S229" s="709"/>
      <c r="T229" s="243" t="s">
        <v>286</v>
      </c>
      <c r="U229" s="244">
        <f>IF(T229="Asignado",15,0)</f>
        <v>15</v>
      </c>
      <c r="V229" s="243" t="s">
        <v>287</v>
      </c>
      <c r="W229" s="244">
        <f>IF(V229="Adecuado",15,0)</f>
        <v>15</v>
      </c>
      <c r="X229" s="243" t="s">
        <v>288</v>
      </c>
      <c r="Y229" s="244">
        <f>IF(X229="Oportuna",15,0)</f>
        <v>15</v>
      </c>
      <c r="Z229" s="243" t="s">
        <v>291</v>
      </c>
      <c r="AA229" s="244">
        <f>IF(Z229="Prevenir",15,IF(Z229="Detectar",10,0))</f>
        <v>15</v>
      </c>
      <c r="AB229" s="243" t="s">
        <v>290</v>
      </c>
      <c r="AC229" s="244">
        <f>IF(AB229="Confiable",15,0)</f>
        <v>15</v>
      </c>
      <c r="AD229" s="243" t="s">
        <v>292</v>
      </c>
      <c r="AE229" s="244">
        <f>IF(AD229="Se investigan y resuelven oportunamente",15,0)</f>
        <v>15</v>
      </c>
      <c r="AF229" s="243" t="s">
        <v>289</v>
      </c>
      <c r="AG229" s="244">
        <f>IF(AF229="Completa",10,IF(AF229="incompleta",5,0))</f>
        <v>10</v>
      </c>
      <c r="AH229" s="242">
        <f>U229+W229+Y229+AA229+AC229+AE229+AG229</f>
        <v>100</v>
      </c>
      <c r="AI229" s="242" t="str">
        <f>IF(AH229&gt;=96,"Fuerte",IF(AH229&gt;=86,"Moderado",IF(AH229&gt;=1,"Débil","")))</f>
        <v>Fuerte</v>
      </c>
      <c r="AJ229" s="241" t="s">
        <v>293</v>
      </c>
      <c r="AK229" s="242" t="str">
        <f>IF(AJ229="Siempre se ejecuta","Fuerte",IF(AJ229="Algunas veces","Moderado",IF(AJ229="no se ejecuta","Débil","")))</f>
        <v>Fuerte</v>
      </c>
      <c r="AL229" s="242" t="str">
        <f>AI229&amp;AK229</f>
        <v>FuerteFuerte</v>
      </c>
      <c r="AM229" s="242" t="str">
        <f>IFERROR(VLOOKUP(AL229,[22]FORMULAS!$B$69:$D$77,3,FALSE),"")</f>
        <v>Fuerte</v>
      </c>
      <c r="AN229" s="242">
        <f>IF(AM229="fuerte",100,IF(AM229="Moderado",50,IF(AM229="débil",0,"")))</f>
        <v>100</v>
      </c>
      <c r="AO229" s="242" t="s">
        <v>1264</v>
      </c>
      <c r="AP229" s="359">
        <f>IFERROR(AVERAGE(AN229:AN232),0)</f>
        <v>100</v>
      </c>
      <c r="AQ229" s="359" t="str">
        <f>IF(AP229&gt;=100,"Fuerte",IF(AP229&gt;=50,"Moderado",IF(AP229&gt;=1,"Débil","")))</f>
        <v>Fuerte</v>
      </c>
      <c r="AR229" s="356" t="s">
        <v>160</v>
      </c>
      <c r="AS229" s="356" t="s">
        <v>162</v>
      </c>
      <c r="AT229" s="359" t="str">
        <f>+AQ229&amp;AR229&amp;AS229</f>
        <v>FuerteDirectamenteIndirectamente</v>
      </c>
      <c r="AU229" s="359">
        <v>1</v>
      </c>
      <c r="AV229" s="359">
        <v>1</v>
      </c>
      <c r="AW229" s="362" t="s">
        <v>17</v>
      </c>
      <c r="AX229" s="362" t="s">
        <v>22</v>
      </c>
      <c r="AY229" s="365" t="str">
        <f>AW229&amp;AX229</f>
        <v>ImprobableMenor</v>
      </c>
      <c r="AZ229" s="368" t="str">
        <f>IFERROR(VLOOKUP(AY229,[22]FORMULAS!$B$37:$C$61,2,FALSE),"")</f>
        <v>Riesgo bajo</v>
      </c>
      <c r="BA229" s="371" t="s">
        <v>166</v>
      </c>
      <c r="BB229" s="704" t="s">
        <v>1265</v>
      </c>
      <c r="BC229" s="246" t="s">
        <v>1266</v>
      </c>
      <c r="BD229" s="245" t="s">
        <v>1239</v>
      </c>
      <c r="BE229" s="256" t="s">
        <v>1267</v>
      </c>
      <c r="BF229" s="386" t="s">
        <v>1241</v>
      </c>
      <c r="BG229" s="384" t="s">
        <v>1268</v>
      </c>
      <c r="BH229" s="477" t="s">
        <v>1269</v>
      </c>
      <c r="BI229" s="477" t="s">
        <v>1270</v>
      </c>
      <c r="BJ229" s="386" t="s">
        <v>1245</v>
      </c>
    </row>
    <row r="230" spans="2:62" s="86" customFormat="1" ht="84.75" customHeight="1" x14ac:dyDescent="0.25">
      <c r="B230" s="362"/>
      <c r="C230" s="362"/>
      <c r="D230" s="702"/>
      <c r="E230" s="700"/>
      <c r="F230" s="362"/>
      <c r="G230" s="362"/>
      <c r="H230" s="383"/>
      <c r="I230" s="380"/>
      <c r="J230" s="707"/>
      <c r="K230" s="703"/>
      <c r="L230" s="702"/>
      <c r="M230" s="365"/>
      <c r="N230" s="362"/>
      <c r="O230" s="362"/>
      <c r="P230" s="365"/>
      <c r="Q230" s="371"/>
      <c r="R230" s="708" t="s">
        <v>1293</v>
      </c>
      <c r="S230" s="709"/>
      <c r="T230" s="474" t="s">
        <v>286</v>
      </c>
      <c r="U230" s="244">
        <f t="shared" ref="U230:U232" si="626">IF(T230="Asignado",15,0)</f>
        <v>15</v>
      </c>
      <c r="V230" s="474" t="s">
        <v>287</v>
      </c>
      <c r="W230" s="244">
        <f t="shared" ref="W230:W232" si="627">IF(V230="Adecuado",15,0)</f>
        <v>15</v>
      </c>
      <c r="X230" s="474" t="s">
        <v>288</v>
      </c>
      <c r="Y230" s="244">
        <f t="shared" ref="Y230:Y232" si="628">IF(X230="Oportuna",15,0)</f>
        <v>15</v>
      </c>
      <c r="Z230" s="474" t="s">
        <v>291</v>
      </c>
      <c r="AA230" s="244">
        <f t="shared" ref="AA230:AA232" si="629">IF(Z230="Prevenir",15,IF(Z230="Detectar",10,0))</f>
        <v>15</v>
      </c>
      <c r="AB230" s="474" t="s">
        <v>290</v>
      </c>
      <c r="AC230" s="244">
        <f t="shared" ref="AC230:AC232" si="630">IF(AB230="Confiable",15,0)</f>
        <v>15</v>
      </c>
      <c r="AD230" s="474" t="s">
        <v>292</v>
      </c>
      <c r="AE230" s="475">
        <f t="shared" ref="AE230:AE232" si="631">IF(AD230="Se investigan y resuelven oportunamente",15,0)</f>
        <v>15</v>
      </c>
      <c r="AF230" s="474" t="s">
        <v>289</v>
      </c>
      <c r="AG230" s="475">
        <f t="shared" ref="AG230:AG232" si="632">IF(AF230="Completa",10,IF(AF230="incompleta",5,0))</f>
        <v>10</v>
      </c>
      <c r="AH230" s="473">
        <f t="shared" ref="AH230:AH232" si="633">U230+W230+Y230+AA230+AC230+AE230+AG230</f>
        <v>100</v>
      </c>
      <c r="AI230" s="473" t="str">
        <f>IF(AH230&gt;=96,"Fuerte",IF(AH230&gt;=86,"Moderado",IF(AH230&gt;=1,"Débil","")))</f>
        <v>Fuerte</v>
      </c>
      <c r="AJ230" s="472" t="s">
        <v>293</v>
      </c>
      <c r="AK230" s="473" t="str">
        <f t="shared" ref="AK230:AK232" si="634">IF(AJ230="Siempre se ejecuta","Fuerte",IF(AJ230="Algunas veces","Moderado",IF(AJ230="no se ejecuta","Débil","")))</f>
        <v>Fuerte</v>
      </c>
      <c r="AL230" s="473" t="str">
        <f t="shared" ref="AL230:AL232" si="635">AI230&amp;AK230</f>
        <v>FuerteFuerte</v>
      </c>
      <c r="AM230" s="473" t="str">
        <f>IFERROR(VLOOKUP(AL230,[22]FORMULAS!$B$69:$D$77,3,FALSE),"")</f>
        <v>Fuerte</v>
      </c>
      <c r="AN230" s="473">
        <f t="shared" ref="AN230:AN232" si="636">IF(AM230="fuerte",100,IF(AM230="Moderado",50,IF(AM230="débil",0,"")))</f>
        <v>100</v>
      </c>
      <c r="AO230" s="473" t="s">
        <v>1264</v>
      </c>
      <c r="AP230" s="359"/>
      <c r="AQ230" s="359"/>
      <c r="AR230" s="356"/>
      <c r="AS230" s="356"/>
      <c r="AT230" s="359"/>
      <c r="AU230" s="359"/>
      <c r="AV230" s="359"/>
      <c r="AW230" s="362"/>
      <c r="AX230" s="362"/>
      <c r="AY230" s="365"/>
      <c r="AZ230" s="368"/>
      <c r="BA230" s="371"/>
      <c r="BB230" s="710" t="s">
        <v>1294</v>
      </c>
      <c r="BC230" s="384" t="s">
        <v>1295</v>
      </c>
      <c r="BD230" s="477" t="s">
        <v>1287</v>
      </c>
      <c r="BE230" s="386" t="s">
        <v>1284</v>
      </c>
      <c r="BF230" s="350"/>
      <c r="BG230" s="334"/>
      <c r="BH230" s="566"/>
      <c r="BI230" s="566"/>
      <c r="BJ230" s="350"/>
    </row>
    <row r="231" spans="2:62" s="86" customFormat="1" ht="36.75" customHeight="1" x14ac:dyDescent="0.25">
      <c r="B231" s="362"/>
      <c r="C231" s="362"/>
      <c r="D231" s="702"/>
      <c r="E231" s="700"/>
      <c r="F231" s="362"/>
      <c r="G231" s="362"/>
      <c r="H231" s="382" t="s">
        <v>1296</v>
      </c>
      <c r="I231" s="380"/>
      <c r="J231" s="707"/>
      <c r="K231" s="701" t="s">
        <v>1297</v>
      </c>
      <c r="L231" s="702"/>
      <c r="M231" s="365"/>
      <c r="N231" s="362"/>
      <c r="O231" s="362"/>
      <c r="P231" s="365"/>
      <c r="Q231" s="371"/>
      <c r="R231" s="705"/>
      <c r="S231" s="706"/>
      <c r="T231" s="340"/>
      <c r="U231" s="244"/>
      <c r="V231" s="340"/>
      <c r="W231" s="244">
        <f t="shared" si="627"/>
        <v>0</v>
      </c>
      <c r="X231" s="340"/>
      <c r="Y231" s="244">
        <f t="shared" si="628"/>
        <v>0</v>
      </c>
      <c r="Z231" s="340"/>
      <c r="AA231" s="244">
        <f t="shared" si="629"/>
        <v>0</v>
      </c>
      <c r="AB231" s="340"/>
      <c r="AC231" s="244">
        <f t="shared" si="630"/>
        <v>0</v>
      </c>
      <c r="AD231" s="340"/>
      <c r="AE231" s="711"/>
      <c r="AF231" s="340"/>
      <c r="AG231" s="711"/>
      <c r="AH231" s="692"/>
      <c r="AI231" s="692"/>
      <c r="AJ231" s="693"/>
      <c r="AK231" s="692"/>
      <c r="AL231" s="692"/>
      <c r="AM231" s="692"/>
      <c r="AN231" s="692"/>
      <c r="AO231" s="692"/>
      <c r="AP231" s="359"/>
      <c r="AQ231" s="359"/>
      <c r="AR231" s="356"/>
      <c r="AS231" s="356"/>
      <c r="AT231" s="359"/>
      <c r="AU231" s="359"/>
      <c r="AV231" s="359"/>
      <c r="AW231" s="362"/>
      <c r="AX231" s="362"/>
      <c r="AY231" s="365"/>
      <c r="AZ231" s="368"/>
      <c r="BA231" s="371"/>
      <c r="BB231" s="712"/>
      <c r="BC231" s="385"/>
      <c r="BD231" s="691"/>
      <c r="BE231" s="387"/>
      <c r="BF231" s="350"/>
      <c r="BG231" s="334"/>
      <c r="BH231" s="566"/>
      <c r="BI231" s="566"/>
      <c r="BJ231" s="350"/>
    </row>
    <row r="232" spans="2:62" s="86" customFormat="1" ht="98.25" customHeight="1" x14ac:dyDescent="0.25">
      <c r="B232" s="362"/>
      <c r="C232" s="362"/>
      <c r="D232" s="703"/>
      <c r="E232" s="700"/>
      <c r="F232" s="362"/>
      <c r="G232" s="362"/>
      <c r="H232" s="383"/>
      <c r="I232" s="380"/>
      <c r="J232" s="707"/>
      <c r="K232" s="703"/>
      <c r="L232" s="703"/>
      <c r="M232" s="365"/>
      <c r="N232" s="362"/>
      <c r="O232" s="362"/>
      <c r="P232" s="365"/>
      <c r="Q232" s="371"/>
      <c r="R232" s="705" t="s">
        <v>1298</v>
      </c>
      <c r="S232" s="706"/>
      <c r="T232" s="243" t="s">
        <v>286</v>
      </c>
      <c r="U232" s="244">
        <f t="shared" si="626"/>
        <v>15</v>
      </c>
      <c r="V232" s="243" t="s">
        <v>287</v>
      </c>
      <c r="W232" s="244">
        <f t="shared" si="627"/>
        <v>15</v>
      </c>
      <c r="X232" s="243" t="s">
        <v>288</v>
      </c>
      <c r="Y232" s="244">
        <f t="shared" si="628"/>
        <v>15</v>
      </c>
      <c r="Z232" s="243" t="s">
        <v>291</v>
      </c>
      <c r="AA232" s="244">
        <f t="shared" si="629"/>
        <v>15</v>
      </c>
      <c r="AB232" s="243" t="s">
        <v>290</v>
      </c>
      <c r="AC232" s="244">
        <f t="shared" si="630"/>
        <v>15</v>
      </c>
      <c r="AD232" s="243" t="s">
        <v>292</v>
      </c>
      <c r="AE232" s="244">
        <f t="shared" si="631"/>
        <v>15</v>
      </c>
      <c r="AF232" s="243" t="s">
        <v>289</v>
      </c>
      <c r="AG232" s="244">
        <f t="shared" si="632"/>
        <v>10</v>
      </c>
      <c r="AH232" s="242">
        <f t="shared" si="633"/>
        <v>100</v>
      </c>
      <c r="AI232" s="242" t="str">
        <f t="shared" ref="AI232" si="637">IF(AH232&gt;=96,"Fuerte",IF(AH232&gt;=86,"Moderado",IF(AH232&gt;=1,"Débil","")))</f>
        <v>Fuerte</v>
      </c>
      <c r="AJ232" s="241" t="s">
        <v>293</v>
      </c>
      <c r="AK232" s="242" t="str">
        <f t="shared" si="634"/>
        <v>Fuerte</v>
      </c>
      <c r="AL232" s="242" t="str">
        <f t="shared" si="635"/>
        <v>FuerteFuerte</v>
      </c>
      <c r="AM232" s="242" t="str">
        <f>IFERROR(VLOOKUP(AL232,[22]FORMULAS!$B$69:$D$77,3,FALSE),"")</f>
        <v>Fuerte</v>
      </c>
      <c r="AN232" s="242">
        <f t="shared" si="636"/>
        <v>100</v>
      </c>
      <c r="AO232" s="242" t="str">
        <f>IFERROR(VLOOKUP(AL232,[22]FORMULAS!$B$69:$C$77,2,FALSE),"")</f>
        <v>No</v>
      </c>
      <c r="AP232" s="359"/>
      <c r="AQ232" s="359"/>
      <c r="AR232" s="356"/>
      <c r="AS232" s="356"/>
      <c r="AT232" s="359"/>
      <c r="AU232" s="359"/>
      <c r="AV232" s="359"/>
      <c r="AW232" s="362"/>
      <c r="AX232" s="362"/>
      <c r="AY232" s="365"/>
      <c r="AZ232" s="368"/>
      <c r="BA232" s="371"/>
      <c r="BB232" s="704" t="s">
        <v>1299</v>
      </c>
      <c r="BC232" s="246" t="s">
        <v>1300</v>
      </c>
      <c r="BD232" s="245" t="s">
        <v>1287</v>
      </c>
      <c r="BE232" s="246" t="s">
        <v>1284</v>
      </c>
      <c r="BF232" s="387"/>
      <c r="BG232" s="385"/>
      <c r="BH232" s="691"/>
      <c r="BI232" s="691"/>
      <c r="BJ232" s="387"/>
    </row>
    <row r="233" spans="2:62" s="86" customFormat="1" ht="86.25" customHeight="1" x14ac:dyDescent="0.25">
      <c r="B233" s="362" t="s">
        <v>81</v>
      </c>
      <c r="C233" s="362">
        <v>66</v>
      </c>
      <c r="D233" s="701" t="s">
        <v>1301</v>
      </c>
      <c r="E233" s="701" t="s">
        <v>1302</v>
      </c>
      <c r="F233" s="362" t="s">
        <v>91</v>
      </c>
      <c r="G233" s="362" t="s">
        <v>100</v>
      </c>
      <c r="H233" s="374" t="s">
        <v>1296</v>
      </c>
      <c r="I233" s="380" t="s">
        <v>128</v>
      </c>
      <c r="J233" s="707" t="s">
        <v>114</v>
      </c>
      <c r="K233" s="701" t="s">
        <v>1290</v>
      </c>
      <c r="L233" s="701" t="s">
        <v>1303</v>
      </c>
      <c r="M233" s="365" t="str">
        <f>IF(F233="gestion","impacto",IF(F233="corrupcion","impactocorrupcion",IF(F233="seguridad_de_la_informacion","impacto","")))</f>
        <v>impacto</v>
      </c>
      <c r="N233" s="362" t="s">
        <v>134</v>
      </c>
      <c r="O233" s="362" t="s">
        <v>23</v>
      </c>
      <c r="P233" s="365" t="str">
        <f>N233&amp;O233</f>
        <v>Rara vezModerado</v>
      </c>
      <c r="Q233" s="371" t="str">
        <f>IFERROR(VLOOKUP(P233,[22]FORMULAS!$B$37:$C$61,2,FALSE),"")</f>
        <v>Riesgo moderado</v>
      </c>
      <c r="R233" s="708" t="s">
        <v>1304</v>
      </c>
      <c r="S233" s="709"/>
      <c r="T233" s="243" t="s">
        <v>286</v>
      </c>
      <c r="U233" s="244">
        <f>IF(T233="Asignado",15,0)</f>
        <v>15</v>
      </c>
      <c r="V233" s="243" t="s">
        <v>287</v>
      </c>
      <c r="W233" s="244">
        <f>IF(V233="Adecuado",15,0)</f>
        <v>15</v>
      </c>
      <c r="X233" s="243" t="s">
        <v>288</v>
      </c>
      <c r="Y233" s="244">
        <f>IF(X233="Oportuna",15,0)</f>
        <v>15</v>
      </c>
      <c r="Z233" s="243" t="s">
        <v>291</v>
      </c>
      <c r="AA233" s="244">
        <f>IF(Z233="Prevenir",15,IF(Z233="Detectar",10,0))</f>
        <v>15</v>
      </c>
      <c r="AB233" s="243" t="s">
        <v>290</v>
      </c>
      <c r="AC233" s="244">
        <f>IF(AB233="Confiable",15,0)</f>
        <v>15</v>
      </c>
      <c r="AD233" s="243" t="s">
        <v>292</v>
      </c>
      <c r="AE233" s="244">
        <f>IF(AD233="Se investigan y resuelven oportunamente",15,0)</f>
        <v>15</v>
      </c>
      <c r="AF233" s="243" t="s">
        <v>289</v>
      </c>
      <c r="AG233" s="244">
        <f>IF(AF233="Completa",10,IF(AF233="incompleta",5,0))</f>
        <v>10</v>
      </c>
      <c r="AH233" s="242">
        <f>U233+W233+Y233+AA233+AC233+AE233+AG233</f>
        <v>100</v>
      </c>
      <c r="AI233" s="242" t="str">
        <f>IF(AH233&gt;=96,"Fuerte",IF(AH233&gt;=86,"Moderado",IF(AH233&gt;=1,"Débil","")))</f>
        <v>Fuerte</v>
      </c>
      <c r="AJ233" s="241" t="s">
        <v>293</v>
      </c>
      <c r="AK233" s="242" t="str">
        <f>IF(AJ233="Siempre se ejecuta","Fuerte",IF(AJ233="Algunas veces","Moderado",IF(AJ233="no se ejecuta","Débil","")))</f>
        <v>Fuerte</v>
      </c>
      <c r="AL233" s="242" t="str">
        <f>AI233&amp;AK233</f>
        <v>FuerteFuerte</v>
      </c>
      <c r="AM233" s="242" t="str">
        <f>IFERROR(VLOOKUP(AL233,[22]FORMULAS!$B$69:$D$77,3,FALSE),"")</f>
        <v>Fuerte</v>
      </c>
      <c r="AN233" s="242">
        <f>IF(AM233="fuerte",100,IF(AM233="Moderado",50,IF(AM233="débil",0,"")))</f>
        <v>100</v>
      </c>
      <c r="AO233" s="242" t="s">
        <v>1264</v>
      </c>
      <c r="AP233" s="359">
        <f>IFERROR(AVERAGE(AN233:AN235),0)</f>
        <v>100</v>
      </c>
      <c r="AQ233" s="359" t="str">
        <f>IF(AP233&gt;=100,"Fuerte",IF(AP233&gt;=50,"Moderado",IF(AP233&gt;=1,"Débil","")))</f>
        <v>Fuerte</v>
      </c>
      <c r="AR233" s="356" t="s">
        <v>160</v>
      </c>
      <c r="AS233" s="356" t="s">
        <v>162</v>
      </c>
      <c r="AT233" s="359" t="str">
        <f>+AQ233&amp;AR233&amp;AS233</f>
        <v>FuerteDirectamenteIndirectamente</v>
      </c>
      <c r="AU233" s="359">
        <v>1</v>
      </c>
      <c r="AV233" s="359">
        <v>1</v>
      </c>
      <c r="AW233" s="362" t="s">
        <v>17</v>
      </c>
      <c r="AX233" s="362" t="s">
        <v>22</v>
      </c>
      <c r="AY233" s="365" t="str">
        <f>AW233&amp;AX233</f>
        <v>ImprobableMenor</v>
      </c>
      <c r="AZ233" s="368" t="str">
        <f>IFERROR(VLOOKUP(AY233,[22]FORMULAS!$B$37:$C$61,2,FALSE),"")</f>
        <v>Riesgo bajo</v>
      </c>
      <c r="BA233" s="371" t="s">
        <v>166</v>
      </c>
      <c r="BB233" s="704" t="s">
        <v>1294</v>
      </c>
      <c r="BC233" s="246" t="s">
        <v>1295</v>
      </c>
      <c r="BD233" s="245" t="s">
        <v>1287</v>
      </c>
      <c r="BE233" s="256" t="s">
        <v>1284</v>
      </c>
      <c r="BF233" s="386" t="s">
        <v>1241</v>
      </c>
      <c r="BG233" s="384" t="s">
        <v>1268</v>
      </c>
      <c r="BH233" s="477" t="s">
        <v>1269</v>
      </c>
      <c r="BI233" s="477" t="s">
        <v>1270</v>
      </c>
      <c r="BJ233" s="386" t="s">
        <v>1245</v>
      </c>
    </row>
    <row r="234" spans="2:62" s="86" customFormat="1" ht="77.25" customHeight="1" x14ac:dyDescent="0.25">
      <c r="B234" s="362"/>
      <c r="C234" s="362"/>
      <c r="D234" s="702"/>
      <c r="E234" s="702"/>
      <c r="F234" s="362"/>
      <c r="G234" s="362"/>
      <c r="H234" s="374"/>
      <c r="I234" s="380"/>
      <c r="J234" s="707"/>
      <c r="K234" s="702"/>
      <c r="L234" s="702"/>
      <c r="M234" s="365"/>
      <c r="N234" s="362"/>
      <c r="O234" s="362"/>
      <c r="P234" s="365"/>
      <c r="Q234" s="371"/>
      <c r="R234" s="713" t="s">
        <v>1305</v>
      </c>
      <c r="S234" s="714"/>
      <c r="T234" s="243" t="s">
        <v>286</v>
      </c>
      <c r="U234" s="244">
        <f t="shared" ref="U234:U235" si="638">IF(T234="Asignado",15,0)</f>
        <v>15</v>
      </c>
      <c r="V234" s="243" t="s">
        <v>287</v>
      </c>
      <c r="W234" s="244">
        <f t="shared" ref="W234:W235" si="639">IF(V234="Adecuado",15,0)</f>
        <v>15</v>
      </c>
      <c r="X234" s="243" t="s">
        <v>288</v>
      </c>
      <c r="Y234" s="244">
        <f t="shared" ref="Y234:Y235" si="640">IF(X234="Oportuna",15,0)</f>
        <v>15</v>
      </c>
      <c r="Z234" s="243" t="s">
        <v>291</v>
      </c>
      <c r="AA234" s="244">
        <f t="shared" ref="AA234:AA235" si="641">IF(Z234="Prevenir",15,IF(Z234="Detectar",10,0))</f>
        <v>15</v>
      </c>
      <c r="AB234" s="243" t="s">
        <v>290</v>
      </c>
      <c r="AC234" s="244">
        <f t="shared" ref="AC234:AC235" si="642">IF(AB234="Confiable",15,0)</f>
        <v>15</v>
      </c>
      <c r="AD234" s="243" t="s">
        <v>292</v>
      </c>
      <c r="AE234" s="244">
        <f t="shared" ref="AE234:AE235" si="643">IF(AD234="Se investigan y resuelven oportunamente",15,0)</f>
        <v>15</v>
      </c>
      <c r="AF234" s="243" t="s">
        <v>289</v>
      </c>
      <c r="AG234" s="244">
        <f t="shared" ref="AG234:AG235" si="644">IF(AF234="Completa",10,IF(AF234="incompleta",5,0))</f>
        <v>10</v>
      </c>
      <c r="AH234" s="242">
        <f t="shared" ref="AH234:AH235" si="645">U234+W234+Y234+AA234+AC234+AE234+AG234</f>
        <v>100</v>
      </c>
      <c r="AI234" s="242" t="str">
        <f>IF(AH234&gt;=96,"Fuerte",IF(AH234&gt;=86,"Moderado",IF(AH234&gt;=1,"Débil","")))</f>
        <v>Fuerte</v>
      </c>
      <c r="AJ234" s="241" t="s">
        <v>293</v>
      </c>
      <c r="AK234" s="242" t="str">
        <f t="shared" ref="AK234:AK235" si="646">IF(AJ234="Siempre se ejecuta","Fuerte",IF(AJ234="Algunas veces","Moderado",IF(AJ234="no se ejecuta","Débil","")))</f>
        <v>Fuerte</v>
      </c>
      <c r="AL234" s="242" t="str">
        <f t="shared" ref="AL234:AL235" si="647">AI234&amp;AK234</f>
        <v>FuerteFuerte</v>
      </c>
      <c r="AM234" s="242" t="str">
        <f>IFERROR(VLOOKUP(AL234,[22]FORMULAS!$B$69:$D$77,3,FALSE),"")</f>
        <v>Fuerte</v>
      </c>
      <c r="AN234" s="242">
        <f t="shared" ref="AN234:AN235" si="648">IF(AM234="fuerte",100,IF(AM234="Moderado",50,IF(AM234="débil",0,"")))</f>
        <v>100</v>
      </c>
      <c r="AO234" s="242" t="s">
        <v>1264</v>
      </c>
      <c r="AP234" s="359"/>
      <c r="AQ234" s="359"/>
      <c r="AR234" s="356"/>
      <c r="AS234" s="356"/>
      <c r="AT234" s="359"/>
      <c r="AU234" s="359"/>
      <c r="AV234" s="359"/>
      <c r="AW234" s="362"/>
      <c r="AX234" s="362"/>
      <c r="AY234" s="365"/>
      <c r="AZ234" s="368"/>
      <c r="BA234" s="371"/>
      <c r="BB234" s="704" t="s">
        <v>1299</v>
      </c>
      <c r="BC234" s="246" t="s">
        <v>1300</v>
      </c>
      <c r="BD234" s="245" t="s">
        <v>1287</v>
      </c>
      <c r="BE234" s="246" t="s">
        <v>1284</v>
      </c>
      <c r="BF234" s="350"/>
      <c r="BG234" s="334"/>
      <c r="BH234" s="566"/>
      <c r="BI234" s="566"/>
      <c r="BJ234" s="350"/>
    </row>
    <row r="235" spans="2:62" s="86" customFormat="1" ht="76.5" customHeight="1" thickBot="1" x14ac:dyDescent="0.3">
      <c r="B235" s="362"/>
      <c r="C235" s="362"/>
      <c r="D235" s="703"/>
      <c r="E235" s="703"/>
      <c r="F235" s="362"/>
      <c r="G235" s="362"/>
      <c r="H235" s="374"/>
      <c r="I235" s="380"/>
      <c r="J235" s="707"/>
      <c r="K235" s="703"/>
      <c r="L235" s="703"/>
      <c r="M235" s="365"/>
      <c r="N235" s="362"/>
      <c r="O235" s="362"/>
      <c r="P235" s="365"/>
      <c r="Q235" s="371"/>
      <c r="R235" s="715" t="s">
        <v>1306</v>
      </c>
      <c r="S235" s="716"/>
      <c r="T235" s="243" t="s">
        <v>286</v>
      </c>
      <c r="U235" s="244">
        <f t="shared" si="638"/>
        <v>15</v>
      </c>
      <c r="V235" s="243" t="s">
        <v>287</v>
      </c>
      <c r="W235" s="244">
        <f t="shared" si="639"/>
        <v>15</v>
      </c>
      <c r="X235" s="243" t="s">
        <v>288</v>
      </c>
      <c r="Y235" s="244">
        <f t="shared" si="640"/>
        <v>15</v>
      </c>
      <c r="Z235" s="243" t="s">
        <v>291</v>
      </c>
      <c r="AA235" s="244">
        <f t="shared" si="641"/>
        <v>15</v>
      </c>
      <c r="AB235" s="243" t="s">
        <v>290</v>
      </c>
      <c r="AC235" s="244">
        <f t="shared" si="642"/>
        <v>15</v>
      </c>
      <c r="AD235" s="243" t="s">
        <v>292</v>
      </c>
      <c r="AE235" s="244">
        <f t="shared" si="643"/>
        <v>15</v>
      </c>
      <c r="AF235" s="243" t="s">
        <v>289</v>
      </c>
      <c r="AG235" s="244">
        <f t="shared" si="644"/>
        <v>10</v>
      </c>
      <c r="AH235" s="242">
        <f t="shared" si="645"/>
        <v>100</v>
      </c>
      <c r="AI235" s="242" t="str">
        <f t="shared" ref="AI235" si="649">IF(AH235&gt;=96,"Fuerte",IF(AH235&gt;=86,"Moderado",IF(AH235&gt;=1,"Débil","")))</f>
        <v>Fuerte</v>
      </c>
      <c r="AJ235" s="241" t="s">
        <v>293</v>
      </c>
      <c r="AK235" s="242" t="str">
        <f t="shared" si="646"/>
        <v>Fuerte</v>
      </c>
      <c r="AL235" s="242" t="str">
        <f t="shared" si="647"/>
        <v>FuerteFuerte</v>
      </c>
      <c r="AM235" s="242" t="str">
        <f>IFERROR(VLOOKUP(AL235,[22]FORMULAS!$B$69:$D$77,3,FALSE),"")</f>
        <v>Fuerte</v>
      </c>
      <c r="AN235" s="242">
        <f t="shared" si="648"/>
        <v>100</v>
      </c>
      <c r="AO235" s="242" t="str">
        <f>IFERROR(VLOOKUP(AL235,[22]FORMULAS!$B$69:$C$77,2,FALSE),"")</f>
        <v>No</v>
      </c>
      <c r="AP235" s="359"/>
      <c r="AQ235" s="359"/>
      <c r="AR235" s="356"/>
      <c r="AS235" s="356"/>
      <c r="AT235" s="359"/>
      <c r="AU235" s="359"/>
      <c r="AV235" s="359"/>
      <c r="AW235" s="362"/>
      <c r="AX235" s="362"/>
      <c r="AY235" s="365"/>
      <c r="AZ235" s="368"/>
      <c r="BA235" s="371"/>
      <c r="BB235" s="704" t="s">
        <v>1307</v>
      </c>
      <c r="BC235" s="246" t="s">
        <v>1308</v>
      </c>
      <c r="BD235" s="245" t="s">
        <v>1309</v>
      </c>
      <c r="BE235" s="256" t="s">
        <v>1275</v>
      </c>
      <c r="BF235" s="350"/>
      <c r="BG235" s="334"/>
      <c r="BH235" s="566"/>
      <c r="BI235" s="566"/>
      <c r="BJ235" s="350"/>
    </row>
    <row r="236" spans="2:62" s="86" customFormat="1" ht="20.100000000000001" customHeight="1" x14ac:dyDescent="0.25">
      <c r="B236" s="376"/>
      <c r="C236" s="361"/>
      <c r="D236" s="373"/>
      <c r="E236" s="373"/>
      <c r="F236" s="361"/>
      <c r="G236" s="361"/>
      <c r="H236" s="373"/>
      <c r="I236" s="379"/>
      <c r="J236" s="379"/>
      <c r="K236" s="199"/>
      <c r="L236" s="199"/>
      <c r="M236" s="364"/>
      <c r="N236" s="361"/>
      <c r="O236" s="361"/>
      <c r="P236" s="364"/>
      <c r="Q236" s="370"/>
      <c r="R236" s="373"/>
      <c r="S236" s="373"/>
      <c r="T236" s="112"/>
      <c r="U236" s="113"/>
      <c r="V236" s="112"/>
      <c r="W236" s="113"/>
      <c r="X236" s="112"/>
      <c r="Y236" s="113"/>
      <c r="Z236" s="112"/>
      <c r="AA236" s="113"/>
      <c r="AB236" s="112"/>
      <c r="AC236" s="113"/>
      <c r="AD236" s="112"/>
      <c r="AE236" s="113"/>
      <c r="AF236" s="112"/>
      <c r="AG236" s="113"/>
      <c r="AH236" s="116"/>
      <c r="AI236" s="116"/>
      <c r="AJ236" s="117"/>
      <c r="AK236" s="116"/>
      <c r="AL236" s="116"/>
      <c r="AM236" s="116"/>
      <c r="AN236" s="116"/>
      <c r="AO236" s="116"/>
      <c r="AP236" s="358"/>
      <c r="AQ236" s="358"/>
      <c r="AR236" s="355"/>
      <c r="AS236" s="355"/>
      <c r="AT236" s="358"/>
      <c r="AU236" s="358"/>
      <c r="AV236" s="358"/>
      <c r="AW236" s="361"/>
      <c r="AX236" s="361"/>
      <c r="AY236" s="364"/>
      <c r="AZ236" s="367"/>
      <c r="BA236" s="370"/>
      <c r="BB236" s="153"/>
      <c r="BC236" s="200"/>
      <c r="BD236" s="200"/>
      <c r="BE236" s="160"/>
      <c r="BF236" s="292"/>
      <c r="BG236" s="119"/>
      <c r="BH236" s="200"/>
      <c r="BI236" s="200"/>
      <c r="BJ236" s="154"/>
    </row>
    <row r="237" spans="2:62" s="86" customFormat="1" ht="20.100000000000001" customHeight="1" x14ac:dyDescent="0.25">
      <c r="B237" s="377"/>
      <c r="C237" s="362"/>
      <c r="D237" s="374"/>
      <c r="E237" s="374"/>
      <c r="F237" s="362"/>
      <c r="G237" s="362"/>
      <c r="H237" s="374"/>
      <c r="I237" s="380"/>
      <c r="J237" s="380"/>
      <c r="K237" s="80"/>
      <c r="L237" s="80"/>
      <c r="M237" s="365"/>
      <c r="N237" s="362"/>
      <c r="O237" s="362"/>
      <c r="P237" s="365"/>
      <c r="Q237" s="371"/>
      <c r="R237" s="374"/>
      <c r="S237" s="374"/>
      <c r="T237" s="102"/>
      <c r="U237" s="106"/>
      <c r="V237" s="102"/>
      <c r="W237" s="106"/>
      <c r="X237" s="102"/>
      <c r="Y237" s="106"/>
      <c r="Z237" s="102"/>
      <c r="AA237" s="106"/>
      <c r="AB237" s="102"/>
      <c r="AC237" s="106"/>
      <c r="AD237" s="102"/>
      <c r="AE237" s="106"/>
      <c r="AF237" s="102"/>
      <c r="AG237" s="106"/>
      <c r="AH237" s="105"/>
      <c r="AI237" s="105"/>
      <c r="AJ237" s="107"/>
      <c r="AK237" s="105"/>
      <c r="AL237" s="105"/>
      <c r="AM237" s="105"/>
      <c r="AN237" s="105"/>
      <c r="AO237" s="105"/>
      <c r="AP237" s="359"/>
      <c r="AQ237" s="359"/>
      <c r="AR237" s="356"/>
      <c r="AS237" s="356"/>
      <c r="AT237" s="359"/>
      <c r="AU237" s="359"/>
      <c r="AV237" s="359"/>
      <c r="AW237" s="362"/>
      <c r="AX237" s="362"/>
      <c r="AY237" s="365"/>
      <c r="AZ237" s="368"/>
      <c r="BA237" s="371"/>
      <c r="BB237" s="152"/>
      <c r="BC237" s="82"/>
      <c r="BD237" s="82"/>
      <c r="BE237" s="83"/>
      <c r="BF237" s="85"/>
      <c r="BG237" s="84"/>
      <c r="BH237" s="82"/>
      <c r="BI237" s="82"/>
      <c r="BJ237" s="155"/>
    </row>
    <row r="238" spans="2:62" s="86" customFormat="1" ht="20.100000000000001" customHeight="1" x14ac:dyDescent="0.25">
      <c r="B238" s="377"/>
      <c r="C238" s="362"/>
      <c r="D238" s="374"/>
      <c r="E238" s="374"/>
      <c r="F238" s="362"/>
      <c r="G238" s="362"/>
      <c r="H238" s="374"/>
      <c r="I238" s="380"/>
      <c r="J238" s="380"/>
      <c r="K238" s="80"/>
      <c r="L238" s="80"/>
      <c r="M238" s="365"/>
      <c r="N238" s="362"/>
      <c r="O238" s="362"/>
      <c r="P238" s="365"/>
      <c r="Q238" s="371"/>
      <c r="R238" s="374"/>
      <c r="S238" s="374"/>
      <c r="T238" s="102"/>
      <c r="U238" s="106"/>
      <c r="V238" s="102"/>
      <c r="W238" s="106"/>
      <c r="X238" s="102"/>
      <c r="Y238" s="106"/>
      <c r="Z238" s="102"/>
      <c r="AA238" s="106"/>
      <c r="AB238" s="102"/>
      <c r="AC238" s="106"/>
      <c r="AD238" s="102"/>
      <c r="AE238" s="106"/>
      <c r="AF238" s="102"/>
      <c r="AG238" s="106"/>
      <c r="AH238" s="105"/>
      <c r="AI238" s="105"/>
      <c r="AJ238" s="107"/>
      <c r="AK238" s="105"/>
      <c r="AL238" s="105"/>
      <c r="AM238" s="105"/>
      <c r="AN238" s="105"/>
      <c r="AO238" s="105"/>
      <c r="AP238" s="359"/>
      <c r="AQ238" s="359"/>
      <c r="AR238" s="356"/>
      <c r="AS238" s="356"/>
      <c r="AT238" s="359"/>
      <c r="AU238" s="359"/>
      <c r="AV238" s="359"/>
      <c r="AW238" s="362"/>
      <c r="AX238" s="362"/>
      <c r="AY238" s="365"/>
      <c r="AZ238" s="368"/>
      <c r="BA238" s="371"/>
      <c r="BB238" s="152"/>
      <c r="BC238" s="82"/>
      <c r="BD238" s="82"/>
      <c r="BE238" s="83"/>
      <c r="BF238" s="85"/>
      <c r="BG238" s="84"/>
      <c r="BH238" s="82"/>
      <c r="BI238" s="82"/>
      <c r="BJ238" s="155"/>
    </row>
    <row r="239" spans="2:62" s="86" customFormat="1" ht="20.100000000000001" customHeight="1" thickBot="1" x14ac:dyDescent="0.3">
      <c r="B239" s="378"/>
      <c r="C239" s="363"/>
      <c r="D239" s="375"/>
      <c r="E239" s="375"/>
      <c r="F239" s="363"/>
      <c r="G239" s="363"/>
      <c r="H239" s="375"/>
      <c r="I239" s="381"/>
      <c r="J239" s="381"/>
      <c r="K239" s="124"/>
      <c r="L239" s="124"/>
      <c r="M239" s="366"/>
      <c r="N239" s="363"/>
      <c r="O239" s="363"/>
      <c r="P239" s="366"/>
      <c r="Q239" s="372"/>
      <c r="R239" s="375"/>
      <c r="S239" s="375"/>
      <c r="T239" s="125"/>
      <c r="U239" s="126"/>
      <c r="V239" s="125"/>
      <c r="W239" s="126"/>
      <c r="X239" s="125"/>
      <c r="Y239" s="126"/>
      <c r="Z239" s="125"/>
      <c r="AA239" s="126"/>
      <c r="AB239" s="125"/>
      <c r="AC239" s="126"/>
      <c r="AD239" s="125"/>
      <c r="AE239" s="126"/>
      <c r="AF239" s="125"/>
      <c r="AG239" s="126"/>
      <c r="AH239" s="129"/>
      <c r="AI239" s="129"/>
      <c r="AJ239" s="130"/>
      <c r="AK239" s="129"/>
      <c r="AL239" s="129"/>
      <c r="AM239" s="129"/>
      <c r="AN239" s="129"/>
      <c r="AO239" s="129"/>
      <c r="AP239" s="360"/>
      <c r="AQ239" s="360"/>
      <c r="AR239" s="357"/>
      <c r="AS239" s="357"/>
      <c r="AT239" s="360"/>
      <c r="AU239" s="360"/>
      <c r="AV239" s="360"/>
      <c r="AW239" s="363"/>
      <c r="AX239" s="363"/>
      <c r="AY239" s="366"/>
      <c r="AZ239" s="369"/>
      <c r="BA239" s="372"/>
      <c r="BB239" s="131"/>
      <c r="BC239" s="132"/>
      <c r="BD239" s="132"/>
      <c r="BE239" s="161"/>
      <c r="BF239" s="290"/>
      <c r="BG239" s="139"/>
      <c r="BH239" s="132"/>
      <c r="BI239" s="132"/>
      <c r="BJ239" s="156"/>
    </row>
  </sheetData>
  <sheetProtection selectLockedCells="1"/>
  <mergeCells count="2186">
    <mergeCell ref="AY233:AY235"/>
    <mergeCell ref="AZ233:AZ235"/>
    <mergeCell ref="BA233:BA235"/>
    <mergeCell ref="BF233:BF235"/>
    <mergeCell ref="BG233:BG235"/>
    <mergeCell ref="BH233:BH235"/>
    <mergeCell ref="BI233:BI235"/>
    <mergeCell ref="BJ233:BJ235"/>
    <mergeCell ref="R234:S234"/>
    <mergeCell ref="R235:S235"/>
    <mergeCell ref="BC230:BC231"/>
    <mergeCell ref="BD230:BD231"/>
    <mergeCell ref="BE230:BE231"/>
    <mergeCell ref="H231:H232"/>
    <mergeCell ref="K231:K232"/>
    <mergeCell ref="R232:S232"/>
    <mergeCell ref="B233:B235"/>
    <mergeCell ref="C233:C235"/>
    <mergeCell ref="D233:D235"/>
    <mergeCell ref="E233:E235"/>
    <mergeCell ref="F233:F235"/>
    <mergeCell ref="G233:G235"/>
    <mergeCell ref="H233:H235"/>
    <mergeCell ref="I233:I235"/>
    <mergeCell ref="J233:J235"/>
    <mergeCell ref="K233:K235"/>
    <mergeCell ref="L233:L235"/>
    <mergeCell ref="M233:M235"/>
    <mergeCell ref="N233:N235"/>
    <mergeCell ref="O233:O235"/>
    <mergeCell ref="P233:P235"/>
    <mergeCell ref="Q233:Q235"/>
    <mergeCell ref="R233:S233"/>
    <mergeCell ref="AP233:AP235"/>
    <mergeCell ref="AQ233:AQ235"/>
    <mergeCell ref="AR233:AR235"/>
    <mergeCell ref="AS233:AS235"/>
    <mergeCell ref="AT233:AT235"/>
    <mergeCell ref="AU233:AU235"/>
    <mergeCell ref="AV233:AV235"/>
    <mergeCell ref="AW233:AW235"/>
    <mergeCell ref="AX233:AX235"/>
    <mergeCell ref="AT229:AT232"/>
    <mergeCell ref="AU229:AU232"/>
    <mergeCell ref="AV229:AV232"/>
    <mergeCell ref="AW229:AW232"/>
    <mergeCell ref="AX229:AX232"/>
    <mergeCell ref="AY229:AY232"/>
    <mergeCell ref="AZ229:AZ232"/>
    <mergeCell ref="BA229:BA232"/>
    <mergeCell ref="BF229:BF232"/>
    <mergeCell ref="BG229:BG232"/>
    <mergeCell ref="BH229:BH232"/>
    <mergeCell ref="BI229:BI232"/>
    <mergeCell ref="BJ229:BJ232"/>
    <mergeCell ref="R230:S231"/>
    <mergeCell ref="T230:T231"/>
    <mergeCell ref="V230:V231"/>
    <mergeCell ref="X230:X231"/>
    <mergeCell ref="Z230:Z231"/>
    <mergeCell ref="AB230:AB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BB230:BB231"/>
    <mergeCell ref="AU227:AU228"/>
    <mergeCell ref="AV227:AV228"/>
    <mergeCell ref="AW227:AW228"/>
    <mergeCell ref="AX227:AX228"/>
    <mergeCell ref="AZ227:AZ228"/>
    <mergeCell ref="BA227:BA228"/>
    <mergeCell ref="BG227:BG228"/>
    <mergeCell ref="BH227:BH228"/>
    <mergeCell ref="BI227:BI228"/>
    <mergeCell ref="BJ227:BJ228"/>
    <mergeCell ref="R228:S228"/>
    <mergeCell ref="B229:B232"/>
    <mergeCell ref="C229:C232"/>
    <mergeCell ref="D229:D232"/>
    <mergeCell ref="E229:E232"/>
    <mergeCell ref="F229:F232"/>
    <mergeCell ref="G229:G232"/>
    <mergeCell ref="H229:H230"/>
    <mergeCell ref="I229:I232"/>
    <mergeCell ref="J229:J232"/>
    <mergeCell ref="K229:K230"/>
    <mergeCell ref="L229:L232"/>
    <mergeCell ref="M229:M232"/>
    <mergeCell ref="N229:N232"/>
    <mergeCell ref="O229:O232"/>
    <mergeCell ref="P229:P232"/>
    <mergeCell ref="Q229:Q232"/>
    <mergeCell ref="R229:S229"/>
    <mergeCell ref="AP229:AP232"/>
    <mergeCell ref="AQ229:AQ232"/>
    <mergeCell ref="AR229:AR232"/>
    <mergeCell ref="AS229:AS232"/>
    <mergeCell ref="V227:V228"/>
    <mergeCell ref="X227:X228"/>
    <mergeCell ref="Z227:Z228"/>
    <mergeCell ref="AB227:AB228"/>
    <mergeCell ref="AD227:AD228"/>
    <mergeCell ref="AF227:AF228"/>
    <mergeCell ref="AH227:AH228"/>
    <mergeCell ref="AI227:AI228"/>
    <mergeCell ref="AJ227:AJ228"/>
    <mergeCell ref="AK227:AK228"/>
    <mergeCell ref="AM227:AM228"/>
    <mergeCell ref="AN227:AN228"/>
    <mergeCell ref="AO227:AO228"/>
    <mergeCell ref="AP227:AP228"/>
    <mergeCell ref="AQ227:AQ228"/>
    <mergeCell ref="AR227:AR228"/>
    <mergeCell ref="AS227:AS228"/>
    <mergeCell ref="R226:S226"/>
    <mergeCell ref="B227:B228"/>
    <mergeCell ref="C227:C228"/>
    <mergeCell ref="D227:D228"/>
    <mergeCell ref="E227:E228"/>
    <mergeCell ref="F227:F228"/>
    <mergeCell ref="G227:G228"/>
    <mergeCell ref="H227:H228"/>
    <mergeCell ref="I227:I228"/>
    <mergeCell ref="J227:J228"/>
    <mergeCell ref="K227:K228"/>
    <mergeCell ref="L227:L228"/>
    <mergeCell ref="N227:N228"/>
    <mergeCell ref="O227:O228"/>
    <mergeCell ref="Q227:Q228"/>
    <mergeCell ref="R227:S227"/>
    <mergeCell ref="T227:T228"/>
    <mergeCell ref="AP225:AP226"/>
    <mergeCell ref="AQ225:AQ226"/>
    <mergeCell ref="AR225:AR226"/>
    <mergeCell ref="AS225:AS226"/>
    <mergeCell ref="AT225:AT226"/>
    <mergeCell ref="AU225:AU226"/>
    <mergeCell ref="AV225:AV226"/>
    <mergeCell ref="AW225:AW226"/>
    <mergeCell ref="AX225:AX226"/>
    <mergeCell ref="AY225:AY226"/>
    <mergeCell ref="AZ225:AZ226"/>
    <mergeCell ref="BA225:BA226"/>
    <mergeCell ref="BF225:BF226"/>
    <mergeCell ref="BG225:BG226"/>
    <mergeCell ref="BH225:BH226"/>
    <mergeCell ref="BI225:BI226"/>
    <mergeCell ref="BJ225:BJ226"/>
    <mergeCell ref="AT221:AT224"/>
    <mergeCell ref="AU221:AU224"/>
    <mergeCell ref="AV221:AV224"/>
    <mergeCell ref="AW221:AW224"/>
    <mergeCell ref="AX221:AX224"/>
    <mergeCell ref="AY221:AY224"/>
    <mergeCell ref="AZ221:AZ224"/>
    <mergeCell ref="BA221:BA224"/>
    <mergeCell ref="BF221:BF224"/>
    <mergeCell ref="BG221:BG224"/>
    <mergeCell ref="BH221:BH224"/>
    <mergeCell ref="BI221:BI224"/>
    <mergeCell ref="BJ221:BJ224"/>
    <mergeCell ref="R222:S222"/>
    <mergeCell ref="R223:S223"/>
    <mergeCell ref="R224:S224"/>
    <mergeCell ref="B225:B226"/>
    <mergeCell ref="C225:C226"/>
    <mergeCell ref="D225:D226"/>
    <mergeCell ref="E225:E226"/>
    <mergeCell ref="F225:F226"/>
    <mergeCell ref="G225:G226"/>
    <mergeCell ref="H225:H226"/>
    <mergeCell ref="I225:I226"/>
    <mergeCell ref="J225:J226"/>
    <mergeCell ref="L225:L226"/>
    <mergeCell ref="M225:M226"/>
    <mergeCell ref="N225:N226"/>
    <mergeCell ref="O225:O226"/>
    <mergeCell ref="P225:P226"/>
    <mergeCell ref="Q225:Q226"/>
    <mergeCell ref="R225:S225"/>
    <mergeCell ref="AQ219:AQ220"/>
    <mergeCell ref="AR219:AR220"/>
    <mergeCell ref="AS219:AS220"/>
    <mergeCell ref="AT219:AT220"/>
    <mergeCell ref="AU219:AU220"/>
    <mergeCell ref="AV219:AV220"/>
    <mergeCell ref="AW219:AW220"/>
    <mergeCell ref="AX219:AX220"/>
    <mergeCell ref="AY219:AY220"/>
    <mergeCell ref="AZ219:AZ220"/>
    <mergeCell ref="BA219:BA220"/>
    <mergeCell ref="R220:S220"/>
    <mergeCell ref="B221:B224"/>
    <mergeCell ref="C221:C224"/>
    <mergeCell ref="D221:D224"/>
    <mergeCell ref="E221:E224"/>
    <mergeCell ref="F221:F224"/>
    <mergeCell ref="G221:G224"/>
    <mergeCell ref="H221:H224"/>
    <mergeCell ref="I221:I224"/>
    <mergeCell ref="J221:J224"/>
    <mergeCell ref="L221:L224"/>
    <mergeCell ref="M221:M224"/>
    <mergeCell ref="N221:N224"/>
    <mergeCell ref="O221:O224"/>
    <mergeCell ref="P221:P224"/>
    <mergeCell ref="Q221:Q224"/>
    <mergeCell ref="R221:S221"/>
    <mergeCell ref="AP221:AP224"/>
    <mergeCell ref="AQ221:AQ224"/>
    <mergeCell ref="AR221:AR224"/>
    <mergeCell ref="AS221:AS224"/>
    <mergeCell ref="B219:B220"/>
    <mergeCell ref="C219:C220"/>
    <mergeCell ref="D219:D220"/>
    <mergeCell ref="E219:E220"/>
    <mergeCell ref="F219:F220"/>
    <mergeCell ref="G219:G220"/>
    <mergeCell ref="H219:H220"/>
    <mergeCell ref="I219:I220"/>
    <mergeCell ref="J219:J220"/>
    <mergeCell ref="L219:L220"/>
    <mergeCell ref="M219:M220"/>
    <mergeCell ref="N219:N220"/>
    <mergeCell ref="O219:O220"/>
    <mergeCell ref="P219:P220"/>
    <mergeCell ref="Q219:Q220"/>
    <mergeCell ref="R219:S219"/>
    <mergeCell ref="AP219:AP220"/>
    <mergeCell ref="AQ215:AQ218"/>
    <mergeCell ref="AR215:AR218"/>
    <mergeCell ref="AS215:AS218"/>
    <mergeCell ref="AT215:AT216"/>
    <mergeCell ref="AU215:AU218"/>
    <mergeCell ref="AV215:AV218"/>
    <mergeCell ref="AW215:AW218"/>
    <mergeCell ref="AX215:AX218"/>
    <mergeCell ref="AY215:AY216"/>
    <mergeCell ref="AZ215:AZ218"/>
    <mergeCell ref="BA215:BA218"/>
    <mergeCell ref="R216:S216"/>
    <mergeCell ref="I217:I218"/>
    <mergeCell ref="J217:J218"/>
    <mergeCell ref="M217:M218"/>
    <mergeCell ref="P217:P218"/>
    <mergeCell ref="R217:S217"/>
    <mergeCell ref="AT217:AT218"/>
    <mergeCell ref="AY217:AY218"/>
    <mergeCell ref="R218:S218"/>
    <mergeCell ref="B215:B218"/>
    <mergeCell ref="C215:C218"/>
    <mergeCell ref="D215:D218"/>
    <mergeCell ref="E215:E218"/>
    <mergeCell ref="F215:F218"/>
    <mergeCell ref="G215:G218"/>
    <mergeCell ref="H215:H218"/>
    <mergeCell ref="I215:I216"/>
    <mergeCell ref="J215:J216"/>
    <mergeCell ref="L215:L218"/>
    <mergeCell ref="M215:M216"/>
    <mergeCell ref="N215:N218"/>
    <mergeCell ref="O215:O218"/>
    <mergeCell ref="P215:P216"/>
    <mergeCell ref="Q215:Q218"/>
    <mergeCell ref="R215:S215"/>
    <mergeCell ref="AP215:AP218"/>
    <mergeCell ref="BG65:BG66"/>
    <mergeCell ref="BH65:BH66"/>
    <mergeCell ref="BI65:BI66"/>
    <mergeCell ref="BJ65:BJ66"/>
    <mergeCell ref="L69:L72"/>
    <mergeCell ref="L73:L76"/>
    <mergeCell ref="BB73:BB74"/>
    <mergeCell ref="BC73:BC74"/>
    <mergeCell ref="BD73:BD74"/>
    <mergeCell ref="BE73:BE74"/>
    <mergeCell ref="BG73:BG74"/>
    <mergeCell ref="BH73:BH74"/>
    <mergeCell ref="BI73:BI74"/>
    <mergeCell ref="BJ73:BJ74"/>
    <mergeCell ref="AS73:AS76"/>
    <mergeCell ref="AT73:AT76"/>
    <mergeCell ref="AU73:AU76"/>
    <mergeCell ref="AV73:AV76"/>
    <mergeCell ref="AW73:AW76"/>
    <mergeCell ref="AX73:AX76"/>
    <mergeCell ref="AY73:AY76"/>
    <mergeCell ref="AZ73:AZ76"/>
    <mergeCell ref="BA73:BA76"/>
    <mergeCell ref="M73:M76"/>
    <mergeCell ref="BJ57:BJ60"/>
    <mergeCell ref="BK57:BK60"/>
    <mergeCell ref="BF51:BF60"/>
    <mergeCell ref="BG61:BG63"/>
    <mergeCell ref="BH61:BH63"/>
    <mergeCell ref="BI61:BI63"/>
    <mergeCell ref="BJ61:BJ63"/>
    <mergeCell ref="BG51:BG52"/>
    <mergeCell ref="BH51:BH52"/>
    <mergeCell ref="BI51:BI52"/>
    <mergeCell ref="BJ51:BJ52"/>
    <mergeCell ref="L53:L56"/>
    <mergeCell ref="L51:L52"/>
    <mergeCell ref="M51:M52"/>
    <mergeCell ref="N51:N52"/>
    <mergeCell ref="O51:O52"/>
    <mergeCell ref="P51:P52"/>
    <mergeCell ref="Q51:Q52"/>
    <mergeCell ref="AP51:AP52"/>
    <mergeCell ref="AQ51:AQ52"/>
    <mergeCell ref="J51:J52"/>
    <mergeCell ref="AY49:AY50"/>
    <mergeCell ref="G49:G50"/>
    <mergeCell ref="H49:H50"/>
    <mergeCell ref="I49:I50"/>
    <mergeCell ref="J49:J50"/>
    <mergeCell ref="AS51:AS52"/>
    <mergeCell ref="AT51:AT52"/>
    <mergeCell ref="AU51:AU52"/>
    <mergeCell ref="AV51:AV52"/>
    <mergeCell ref="AW51:AW52"/>
    <mergeCell ref="AX51:AX52"/>
    <mergeCell ref="AY51:AY52"/>
    <mergeCell ref="L57:L60"/>
    <mergeCell ref="BG57:BG60"/>
    <mergeCell ref="BH57:BH60"/>
    <mergeCell ref="BI57:BI60"/>
    <mergeCell ref="BB49:BB50"/>
    <mergeCell ref="BC49:BC50"/>
    <mergeCell ref="BD49:BD50"/>
    <mergeCell ref="AP49:AP50"/>
    <mergeCell ref="AQ49:AQ50"/>
    <mergeCell ref="AR49:AR50"/>
    <mergeCell ref="AS49:AS50"/>
    <mergeCell ref="AT49:AT50"/>
    <mergeCell ref="AU49:AU50"/>
    <mergeCell ref="AV49:AV50"/>
    <mergeCell ref="AW49:AW50"/>
    <mergeCell ref="AX49:AX50"/>
    <mergeCell ref="M49:M50"/>
    <mergeCell ref="N49:N50"/>
    <mergeCell ref="O49:O50"/>
    <mergeCell ref="P49:P50"/>
    <mergeCell ref="Q49:Q50"/>
    <mergeCell ref="R102:S102"/>
    <mergeCell ref="R103:S103"/>
    <mergeCell ref="AS100:AS103"/>
    <mergeCell ref="AT100:AT103"/>
    <mergeCell ref="AU100:AU103"/>
    <mergeCell ref="AV100:AV103"/>
    <mergeCell ref="AW100:AW103"/>
    <mergeCell ref="AX100:AX103"/>
    <mergeCell ref="AY100:AY103"/>
    <mergeCell ref="AZ100:AZ103"/>
    <mergeCell ref="BA100:BA103"/>
    <mergeCell ref="M47:M48"/>
    <mergeCell ref="N47:N48"/>
    <mergeCell ref="O47:O48"/>
    <mergeCell ref="P47:P48"/>
    <mergeCell ref="Q47:Q48"/>
    <mergeCell ref="AP47:AP48"/>
    <mergeCell ref="AQ47:AQ48"/>
    <mergeCell ref="AR47:AR48"/>
    <mergeCell ref="AS47:AS48"/>
    <mergeCell ref="R47:S47"/>
    <mergeCell ref="AT47:AT48"/>
    <mergeCell ref="AU47:AU48"/>
    <mergeCell ref="AV47:AV48"/>
    <mergeCell ref="AW47:AW48"/>
    <mergeCell ref="AX47:AX48"/>
    <mergeCell ref="AY47:AY48"/>
    <mergeCell ref="AZ47:AZ48"/>
    <mergeCell ref="BA47:BA48"/>
    <mergeCell ref="AZ49:AZ50"/>
    <mergeCell ref="BA49:BA50"/>
    <mergeCell ref="R49:S50"/>
    <mergeCell ref="AR96:AR99"/>
    <mergeCell ref="R97:S97"/>
    <mergeCell ref="R98:S98"/>
    <mergeCell ref="R99:S99"/>
    <mergeCell ref="AS96:AS99"/>
    <mergeCell ref="AT96:AT99"/>
    <mergeCell ref="AU96:AU99"/>
    <mergeCell ref="AV96:AV99"/>
    <mergeCell ref="AW96:AW99"/>
    <mergeCell ref="AX96:AX99"/>
    <mergeCell ref="AY96:AY99"/>
    <mergeCell ref="AZ96:AZ99"/>
    <mergeCell ref="BA96:BA99"/>
    <mergeCell ref="B100:B103"/>
    <mergeCell ref="C100:C103"/>
    <mergeCell ref="D100:D103"/>
    <mergeCell ref="E100:E103"/>
    <mergeCell ref="F100:F103"/>
    <mergeCell ref="G100:G103"/>
    <mergeCell ref="H100:H103"/>
    <mergeCell ref="I100:I103"/>
    <mergeCell ref="J100:J103"/>
    <mergeCell ref="M100:M103"/>
    <mergeCell ref="N100:N103"/>
    <mergeCell ref="O100:O103"/>
    <mergeCell ref="P100:P103"/>
    <mergeCell ref="Q100:Q103"/>
    <mergeCell ref="R100:S100"/>
    <mergeCell ref="AP100:AP103"/>
    <mergeCell ref="AQ100:AQ103"/>
    <mergeCell ref="AR100:AR103"/>
    <mergeCell ref="R101:S101"/>
    <mergeCell ref="B96:B99"/>
    <mergeCell ref="C96:C99"/>
    <mergeCell ref="D96:D99"/>
    <mergeCell ref="E96:E99"/>
    <mergeCell ref="F96:F99"/>
    <mergeCell ref="G96:G99"/>
    <mergeCell ref="H96:H99"/>
    <mergeCell ref="I96:I99"/>
    <mergeCell ref="J96:J99"/>
    <mergeCell ref="M96:M99"/>
    <mergeCell ref="N96:N99"/>
    <mergeCell ref="O96:O99"/>
    <mergeCell ref="P96:P99"/>
    <mergeCell ref="Q96:Q99"/>
    <mergeCell ref="R96:S96"/>
    <mergeCell ref="AP96:AP99"/>
    <mergeCell ref="AQ96:AQ99"/>
    <mergeCell ref="BA87:BA90"/>
    <mergeCell ref="R91:S91"/>
    <mergeCell ref="R92:S92"/>
    <mergeCell ref="R93:S93"/>
    <mergeCell ref="R94:S94"/>
    <mergeCell ref="B92:B95"/>
    <mergeCell ref="C92:C95"/>
    <mergeCell ref="D92:D95"/>
    <mergeCell ref="E92:E95"/>
    <mergeCell ref="F92:F95"/>
    <mergeCell ref="G92:G95"/>
    <mergeCell ref="H92:H95"/>
    <mergeCell ref="I92:I95"/>
    <mergeCell ref="J92:J95"/>
    <mergeCell ref="M92:M95"/>
    <mergeCell ref="N92:N95"/>
    <mergeCell ref="O92:O95"/>
    <mergeCell ref="P92:P95"/>
    <mergeCell ref="Q92:Q95"/>
    <mergeCell ref="AP92:AP95"/>
    <mergeCell ref="AQ92:AQ95"/>
    <mergeCell ref="AR92:AR95"/>
    <mergeCell ref="R95:S95"/>
    <mergeCell ref="AS92:AS95"/>
    <mergeCell ref="AT92:AT95"/>
    <mergeCell ref="AU92:AU95"/>
    <mergeCell ref="AV92:AV95"/>
    <mergeCell ref="AW92:AW95"/>
    <mergeCell ref="AX92:AX95"/>
    <mergeCell ref="AY92:AY95"/>
    <mergeCell ref="AZ92:AZ95"/>
    <mergeCell ref="BA92:BA95"/>
    <mergeCell ref="B87:B90"/>
    <mergeCell ref="C87:C90"/>
    <mergeCell ref="D87:D90"/>
    <mergeCell ref="E87:E90"/>
    <mergeCell ref="F87:F90"/>
    <mergeCell ref="G87:G90"/>
    <mergeCell ref="H87:H90"/>
    <mergeCell ref="I87:I90"/>
    <mergeCell ref="J87:J90"/>
    <mergeCell ref="M87:M90"/>
    <mergeCell ref="N87:N90"/>
    <mergeCell ref="O87:O90"/>
    <mergeCell ref="P87:P90"/>
    <mergeCell ref="Q87:Q90"/>
    <mergeCell ref="AP87:AP90"/>
    <mergeCell ref="AQ87:AQ90"/>
    <mergeCell ref="AR87:AR90"/>
    <mergeCell ref="R89:S89"/>
    <mergeCell ref="R90:S90"/>
    <mergeCell ref="R83:S83"/>
    <mergeCell ref="R84:S84"/>
    <mergeCell ref="AS81:AS84"/>
    <mergeCell ref="AT81:AT84"/>
    <mergeCell ref="AU81:AU84"/>
    <mergeCell ref="AV81:AV84"/>
    <mergeCell ref="AW81:AW84"/>
    <mergeCell ref="AX81:AX84"/>
    <mergeCell ref="AY81:AY84"/>
    <mergeCell ref="AZ81:AZ84"/>
    <mergeCell ref="BA81:BA84"/>
    <mergeCell ref="R85:S85"/>
    <mergeCell ref="R86:S86"/>
    <mergeCell ref="R87:S87"/>
    <mergeCell ref="R88:S88"/>
    <mergeCell ref="AS85:AS86"/>
    <mergeCell ref="AT85:AT86"/>
    <mergeCell ref="AU85:AU86"/>
    <mergeCell ref="AV85:AV86"/>
    <mergeCell ref="AW85:AW86"/>
    <mergeCell ref="AX85:AX86"/>
    <mergeCell ref="AY85:AY86"/>
    <mergeCell ref="AZ85:AZ86"/>
    <mergeCell ref="BA85:BA86"/>
    <mergeCell ref="AS87:AS90"/>
    <mergeCell ref="AT87:AT90"/>
    <mergeCell ref="AU87:AU90"/>
    <mergeCell ref="AV87:AV90"/>
    <mergeCell ref="AW87:AW90"/>
    <mergeCell ref="AX87:AX90"/>
    <mergeCell ref="AY87:AY90"/>
    <mergeCell ref="AZ87:AZ90"/>
    <mergeCell ref="AR77:AR80"/>
    <mergeCell ref="R78:S78"/>
    <mergeCell ref="R79:S79"/>
    <mergeCell ref="R80:S80"/>
    <mergeCell ref="AS77:AS80"/>
    <mergeCell ref="AT77:AT80"/>
    <mergeCell ref="AU77:AU80"/>
    <mergeCell ref="AV77:AV80"/>
    <mergeCell ref="AW77:AW80"/>
    <mergeCell ref="AX77:AX80"/>
    <mergeCell ref="AY77:AY80"/>
    <mergeCell ref="AZ77:AZ80"/>
    <mergeCell ref="BA77:BA80"/>
    <mergeCell ref="B81:B84"/>
    <mergeCell ref="C81:C84"/>
    <mergeCell ref="D81:D84"/>
    <mergeCell ref="E81:E84"/>
    <mergeCell ref="F81:F84"/>
    <mergeCell ref="G81:G84"/>
    <mergeCell ref="H81:H84"/>
    <mergeCell ref="I81:I84"/>
    <mergeCell ref="J81:J84"/>
    <mergeCell ref="M81:M84"/>
    <mergeCell ref="N81:N84"/>
    <mergeCell ref="O81:O84"/>
    <mergeCell ref="P81:P84"/>
    <mergeCell ref="Q81:Q84"/>
    <mergeCell ref="R81:S81"/>
    <mergeCell ref="AP81:AP84"/>
    <mergeCell ref="AQ81:AQ84"/>
    <mergeCell ref="AR81:AR84"/>
    <mergeCell ref="R82:S82"/>
    <mergeCell ref="B77:B80"/>
    <mergeCell ref="C77:C80"/>
    <mergeCell ref="D77:D80"/>
    <mergeCell ref="E77:E80"/>
    <mergeCell ref="F77:F80"/>
    <mergeCell ref="G77:G80"/>
    <mergeCell ref="H77:H80"/>
    <mergeCell ref="I77:I80"/>
    <mergeCell ref="J77:J80"/>
    <mergeCell ref="M77:M80"/>
    <mergeCell ref="N77:N80"/>
    <mergeCell ref="O77:O80"/>
    <mergeCell ref="P77:P80"/>
    <mergeCell ref="Q77:Q80"/>
    <mergeCell ref="R77:S77"/>
    <mergeCell ref="AP77:AP80"/>
    <mergeCell ref="AQ77:AQ80"/>
    <mergeCell ref="AW69:AW72"/>
    <mergeCell ref="AX69:AX72"/>
    <mergeCell ref="AY69:AY72"/>
    <mergeCell ref="AZ69:AZ72"/>
    <mergeCell ref="BA69:BA72"/>
    <mergeCell ref="B73:B76"/>
    <mergeCell ref="C73:C76"/>
    <mergeCell ref="D73:D76"/>
    <mergeCell ref="E73:E76"/>
    <mergeCell ref="F73:F76"/>
    <mergeCell ref="G73:G76"/>
    <mergeCell ref="H73:H76"/>
    <mergeCell ref="I73:I76"/>
    <mergeCell ref="J73:J76"/>
    <mergeCell ref="N73:N76"/>
    <mergeCell ref="O73:O76"/>
    <mergeCell ref="P73:P76"/>
    <mergeCell ref="Q73:Q76"/>
    <mergeCell ref="R73:S73"/>
    <mergeCell ref="AP73:AP76"/>
    <mergeCell ref="AQ73:AQ76"/>
    <mergeCell ref="AR73:AR76"/>
    <mergeCell ref="R74:S74"/>
    <mergeCell ref="R75:S75"/>
    <mergeCell ref="R76:S76"/>
    <mergeCell ref="AU65:AU68"/>
    <mergeCell ref="AV65:AV68"/>
    <mergeCell ref="AW65:AW68"/>
    <mergeCell ref="AX65:AX68"/>
    <mergeCell ref="AY65:AY68"/>
    <mergeCell ref="AZ65:AZ68"/>
    <mergeCell ref="BA65:BA68"/>
    <mergeCell ref="B69:B72"/>
    <mergeCell ref="C69:C72"/>
    <mergeCell ref="D69:D72"/>
    <mergeCell ref="E69:E72"/>
    <mergeCell ref="F69:F72"/>
    <mergeCell ref="G69:G72"/>
    <mergeCell ref="H69:H72"/>
    <mergeCell ref="I69:I72"/>
    <mergeCell ref="J69:J72"/>
    <mergeCell ref="M69:M72"/>
    <mergeCell ref="N69:N72"/>
    <mergeCell ref="O69:O72"/>
    <mergeCell ref="P69:P72"/>
    <mergeCell ref="Q69:Q72"/>
    <mergeCell ref="R69:S69"/>
    <mergeCell ref="AP69:AP72"/>
    <mergeCell ref="AQ69:AQ72"/>
    <mergeCell ref="AR69:AR72"/>
    <mergeCell ref="R70:S70"/>
    <mergeCell ref="R71:S71"/>
    <mergeCell ref="R72:S72"/>
    <mergeCell ref="AS69:AS72"/>
    <mergeCell ref="AT69:AT72"/>
    <mergeCell ref="AU69:AU72"/>
    <mergeCell ref="AV69:AV72"/>
    <mergeCell ref="AS61:AS64"/>
    <mergeCell ref="AT61:AT64"/>
    <mergeCell ref="AU61:AU64"/>
    <mergeCell ref="AV61:AV64"/>
    <mergeCell ref="AW61:AW64"/>
    <mergeCell ref="AX61:AX64"/>
    <mergeCell ref="AY61:AY64"/>
    <mergeCell ref="AZ61:AZ64"/>
    <mergeCell ref="BA61:BA64"/>
    <mergeCell ref="B65:B68"/>
    <mergeCell ref="C65:C68"/>
    <mergeCell ref="D65:D68"/>
    <mergeCell ref="E65:E68"/>
    <mergeCell ref="F65:F68"/>
    <mergeCell ref="G65:G68"/>
    <mergeCell ref="H65:H68"/>
    <mergeCell ref="I65:I68"/>
    <mergeCell ref="J65:J68"/>
    <mergeCell ref="M65:M68"/>
    <mergeCell ref="N65:N68"/>
    <mergeCell ref="O65:O68"/>
    <mergeCell ref="P65:P68"/>
    <mergeCell ref="Q65:Q68"/>
    <mergeCell ref="R65:S65"/>
    <mergeCell ref="AP65:AP68"/>
    <mergeCell ref="AQ65:AQ68"/>
    <mergeCell ref="AR65:AR68"/>
    <mergeCell ref="R66:S66"/>
    <mergeCell ref="R67:S67"/>
    <mergeCell ref="R68:S68"/>
    <mergeCell ref="AS65:AS68"/>
    <mergeCell ref="AT65:AT68"/>
    <mergeCell ref="R59:S59"/>
    <mergeCell ref="R60:S60"/>
    <mergeCell ref="AS57:AS60"/>
    <mergeCell ref="AT57:AT60"/>
    <mergeCell ref="AU57:AU60"/>
    <mergeCell ref="AV57:AV60"/>
    <mergeCell ref="AW57:AW60"/>
    <mergeCell ref="AX57:AX60"/>
    <mergeCell ref="AY57:AY60"/>
    <mergeCell ref="AZ57:AZ60"/>
    <mergeCell ref="BA57:BA60"/>
    <mergeCell ref="B61:B64"/>
    <mergeCell ref="C61:C64"/>
    <mergeCell ref="D61:D64"/>
    <mergeCell ref="E61:E64"/>
    <mergeCell ref="F61:F64"/>
    <mergeCell ref="G61:G64"/>
    <mergeCell ref="H61:H64"/>
    <mergeCell ref="I61:I64"/>
    <mergeCell ref="J61:J64"/>
    <mergeCell ref="M61:M64"/>
    <mergeCell ref="N61:N64"/>
    <mergeCell ref="O61:O64"/>
    <mergeCell ref="P61:P64"/>
    <mergeCell ref="Q61:Q64"/>
    <mergeCell ref="R61:S61"/>
    <mergeCell ref="AP61:AP64"/>
    <mergeCell ref="AQ61:AQ64"/>
    <mergeCell ref="AR61:AR64"/>
    <mergeCell ref="R62:S62"/>
    <mergeCell ref="R63:S63"/>
    <mergeCell ref="R64:S64"/>
    <mergeCell ref="AR53:AR56"/>
    <mergeCell ref="R54:S54"/>
    <mergeCell ref="R55:S55"/>
    <mergeCell ref="R56:S56"/>
    <mergeCell ref="AS53:AS56"/>
    <mergeCell ref="AT53:AT56"/>
    <mergeCell ref="AU53:AU56"/>
    <mergeCell ref="AV53:AV56"/>
    <mergeCell ref="AW53:AW56"/>
    <mergeCell ref="AX53:AX56"/>
    <mergeCell ref="AY53:AY56"/>
    <mergeCell ref="AZ53:AZ56"/>
    <mergeCell ref="BA53:BA56"/>
    <mergeCell ref="B57:B60"/>
    <mergeCell ref="C57:C60"/>
    <mergeCell ref="D57:D60"/>
    <mergeCell ref="E57:E60"/>
    <mergeCell ref="F57:F60"/>
    <mergeCell ref="G57:G60"/>
    <mergeCell ref="H57:H60"/>
    <mergeCell ref="I57:I60"/>
    <mergeCell ref="J57:J60"/>
    <mergeCell ref="M57:M60"/>
    <mergeCell ref="N57:N60"/>
    <mergeCell ref="O57:O60"/>
    <mergeCell ref="P57:P60"/>
    <mergeCell ref="Q57:Q60"/>
    <mergeCell ref="R57:S57"/>
    <mergeCell ref="AP57:AP60"/>
    <mergeCell ref="AQ57:AQ60"/>
    <mergeCell ref="AR57:AR60"/>
    <mergeCell ref="R58:S58"/>
    <mergeCell ref="B53:B56"/>
    <mergeCell ref="C53:C56"/>
    <mergeCell ref="D53:D56"/>
    <mergeCell ref="E53:E56"/>
    <mergeCell ref="F53:F56"/>
    <mergeCell ref="G53:G56"/>
    <mergeCell ref="H53:H56"/>
    <mergeCell ref="I53:I56"/>
    <mergeCell ref="J53:J56"/>
    <mergeCell ref="M53:M56"/>
    <mergeCell ref="N53:N56"/>
    <mergeCell ref="O53:O56"/>
    <mergeCell ref="P53:P56"/>
    <mergeCell ref="Q53:Q56"/>
    <mergeCell ref="R53:S53"/>
    <mergeCell ref="AP53:AP56"/>
    <mergeCell ref="AQ53:AQ56"/>
    <mergeCell ref="AZ51:AZ52"/>
    <mergeCell ref="BA51:BA52"/>
    <mergeCell ref="R51:S51"/>
    <mergeCell ref="R52:S52"/>
    <mergeCell ref="L35:L38"/>
    <mergeCell ref="B51:B52"/>
    <mergeCell ref="C51:C52"/>
    <mergeCell ref="B47:B48"/>
    <mergeCell ref="C47:C48"/>
    <mergeCell ref="D47:D48"/>
    <mergeCell ref="E47:E48"/>
    <mergeCell ref="F47:F48"/>
    <mergeCell ref="G47:G48"/>
    <mergeCell ref="H47:H48"/>
    <mergeCell ref="I47:I48"/>
    <mergeCell ref="J47:J48"/>
    <mergeCell ref="B49:B50"/>
    <mergeCell ref="C49:C50"/>
    <mergeCell ref="D49:D50"/>
    <mergeCell ref="E49:E50"/>
    <mergeCell ref="F49:F50"/>
    <mergeCell ref="BA35:BA38"/>
    <mergeCell ref="AZ43:AZ46"/>
    <mergeCell ref="BA43:BA46"/>
    <mergeCell ref="L49:L50"/>
    <mergeCell ref="AR51:AR52"/>
    <mergeCell ref="D51:D52"/>
    <mergeCell ref="E51:E52"/>
    <mergeCell ref="F51:F52"/>
    <mergeCell ref="G51:G52"/>
    <mergeCell ref="H51:H52"/>
    <mergeCell ref="I51:I52"/>
    <mergeCell ref="BJ9:BJ10"/>
    <mergeCell ref="BG8:BJ8"/>
    <mergeCell ref="BA11:BA14"/>
    <mergeCell ref="AY11:AY14"/>
    <mergeCell ref="AZ11:AZ14"/>
    <mergeCell ref="AX11:AX14"/>
    <mergeCell ref="BB8:BF8"/>
    <mergeCell ref="BG11:BG14"/>
    <mergeCell ref="BH11:BH14"/>
    <mergeCell ref="BI11:BI14"/>
    <mergeCell ref="BJ11:BJ14"/>
    <mergeCell ref="L15:L18"/>
    <mergeCell ref="BG15:BG18"/>
    <mergeCell ref="BH15:BH18"/>
    <mergeCell ref="BI15:BI18"/>
    <mergeCell ref="BJ15:BJ18"/>
    <mergeCell ref="L19:L22"/>
    <mergeCell ref="BG19:BG22"/>
    <mergeCell ref="BH19:BH22"/>
    <mergeCell ref="BI19:BI22"/>
    <mergeCell ref="BJ19:BJ22"/>
    <mergeCell ref="BF11:BF30"/>
    <mergeCell ref="BG23:BG26"/>
    <mergeCell ref="BH23:BH26"/>
    <mergeCell ref="BI23:BI26"/>
    <mergeCell ref="BJ23:BJ26"/>
    <mergeCell ref="BG27:BG30"/>
    <mergeCell ref="AX15:AX18"/>
    <mergeCell ref="AY15:AY18"/>
    <mergeCell ref="AP15:AP18"/>
    <mergeCell ref="AQ15:AQ18"/>
    <mergeCell ref="AR15:AR18"/>
    <mergeCell ref="BH47:BH48"/>
    <mergeCell ref="BI47:BI48"/>
    <mergeCell ref="AW11:AW14"/>
    <mergeCell ref="AR11:AR14"/>
    <mergeCell ref="AS11:AS14"/>
    <mergeCell ref="AT11:AT14"/>
    <mergeCell ref="AQ11:AQ14"/>
    <mergeCell ref="BG9:BG10"/>
    <mergeCell ref="F15:F18"/>
    <mergeCell ref="G15:G18"/>
    <mergeCell ref="H11:H14"/>
    <mergeCell ref="H15:H18"/>
    <mergeCell ref="AZ9:AZ10"/>
    <mergeCell ref="BF9:BF10"/>
    <mergeCell ref="AW9:AW10"/>
    <mergeCell ref="AX9:AX10"/>
    <mergeCell ref="AY9:AY10"/>
    <mergeCell ref="BA8:BA10"/>
    <mergeCell ref="AW8:AZ8"/>
    <mergeCell ref="AZ15:AZ18"/>
    <mergeCell ref="BA15:BA18"/>
    <mergeCell ref="AU15:AU18"/>
    <mergeCell ref="AV15:AV18"/>
    <mergeCell ref="AW15:AW18"/>
    <mergeCell ref="BH9:BH10"/>
    <mergeCell ref="BI9:BI10"/>
    <mergeCell ref="AS15:AS18"/>
    <mergeCell ref="AT15:AT18"/>
    <mergeCell ref="O15:O18"/>
    <mergeCell ref="BG47:BG48"/>
    <mergeCell ref="Z9:Z10"/>
    <mergeCell ref="X9:X10"/>
    <mergeCell ref="V9:V10"/>
    <mergeCell ref="J15:J18"/>
    <mergeCell ref="M15:M18"/>
    <mergeCell ref="R16:S16"/>
    <mergeCell ref="R17:S17"/>
    <mergeCell ref="R18:S18"/>
    <mergeCell ref="R19:S19"/>
    <mergeCell ref="O23:O26"/>
    <mergeCell ref="P23:P26"/>
    <mergeCell ref="Q23:Q26"/>
    <mergeCell ref="R23:S23"/>
    <mergeCell ref="R27:S27"/>
    <mergeCell ref="O31:O34"/>
    <mergeCell ref="P31:P34"/>
    <mergeCell ref="H8:H10"/>
    <mergeCell ref="R9:S10"/>
    <mergeCell ref="N8:O8"/>
    <mergeCell ref="R8:AV8"/>
    <mergeCell ref="B11:B14"/>
    <mergeCell ref="D11:D14"/>
    <mergeCell ref="M11:M14"/>
    <mergeCell ref="N11:N14"/>
    <mergeCell ref="O11:O14"/>
    <mergeCell ref="Q11:Q14"/>
    <mergeCell ref="I11:I14"/>
    <mergeCell ref="AU11:AU14"/>
    <mergeCell ref="AV11:AV14"/>
    <mergeCell ref="R12:S12"/>
    <mergeCell ref="AP11:AP14"/>
    <mergeCell ref="R11:S11"/>
    <mergeCell ref="R13:S13"/>
    <mergeCell ref="C11:C14"/>
    <mergeCell ref="F11:F14"/>
    <mergeCell ref="J11:J14"/>
    <mergeCell ref="P11:P14"/>
    <mergeCell ref="E11:E14"/>
    <mergeCell ref="G11:G14"/>
    <mergeCell ref="R14:S14"/>
    <mergeCell ref="L11:L14"/>
    <mergeCell ref="BB9:BB10"/>
    <mergeCell ref="BC9:BC10"/>
    <mergeCell ref="BD9:BD10"/>
    <mergeCell ref="BE9:BE10"/>
    <mergeCell ref="B8:B10"/>
    <mergeCell ref="C8:C10"/>
    <mergeCell ref="D8:D10"/>
    <mergeCell ref="E8:E10"/>
    <mergeCell ref="F8:F10"/>
    <mergeCell ref="G8:G10"/>
    <mergeCell ref="I8:I10"/>
    <mergeCell ref="J8:J10"/>
    <mergeCell ref="K8:K10"/>
    <mergeCell ref="L8:L10"/>
    <mergeCell ref="M8:M10"/>
    <mergeCell ref="N9:N10"/>
    <mergeCell ref="O9:O10"/>
    <mergeCell ref="P8:P10"/>
    <mergeCell ref="Q9:Q10"/>
    <mergeCell ref="T9:T10"/>
    <mergeCell ref="AU9:AV9"/>
    <mergeCell ref="AS9:AS10"/>
    <mergeCell ref="AR9:AR10"/>
    <mergeCell ref="AP9:AQ10"/>
    <mergeCell ref="AO9:AO10"/>
    <mergeCell ref="AM9:AN10"/>
    <mergeCell ref="AJ9:AK10"/>
    <mergeCell ref="AI9:AI10"/>
    <mergeCell ref="AH9:AH10"/>
    <mergeCell ref="AF9:AF10"/>
    <mergeCell ref="AD9:AD10"/>
    <mergeCell ref="AB9:AB10"/>
    <mergeCell ref="P15:P18"/>
    <mergeCell ref="Q15:Q18"/>
    <mergeCell ref="R15:S15"/>
    <mergeCell ref="F19:F22"/>
    <mergeCell ref="G19:G22"/>
    <mergeCell ref="I19:I22"/>
    <mergeCell ref="J19:J22"/>
    <mergeCell ref="M19:M22"/>
    <mergeCell ref="B19:B22"/>
    <mergeCell ref="C19:C22"/>
    <mergeCell ref="D19:D22"/>
    <mergeCell ref="E19:E22"/>
    <mergeCell ref="H19:H22"/>
    <mergeCell ref="B15:B18"/>
    <mergeCell ref="C15:C18"/>
    <mergeCell ref="D15:D18"/>
    <mergeCell ref="E15:E18"/>
    <mergeCell ref="N15:N18"/>
    <mergeCell ref="I15:I18"/>
    <mergeCell ref="B23:B26"/>
    <mergeCell ref="C23:C26"/>
    <mergeCell ref="D23:D26"/>
    <mergeCell ref="E23:E26"/>
    <mergeCell ref="AZ19:AZ22"/>
    <mergeCell ref="BA19:BA22"/>
    <mergeCell ref="R20:S20"/>
    <mergeCell ref="R21:S21"/>
    <mergeCell ref="R22:S22"/>
    <mergeCell ref="AU19:AU22"/>
    <mergeCell ref="AV19:AV22"/>
    <mergeCell ref="AW19:AW22"/>
    <mergeCell ref="AX19:AX22"/>
    <mergeCell ref="AY19:AY22"/>
    <mergeCell ref="AP19:AP22"/>
    <mergeCell ref="AQ19:AQ22"/>
    <mergeCell ref="AR19:AR22"/>
    <mergeCell ref="AS19:AS22"/>
    <mergeCell ref="AT19:AT22"/>
    <mergeCell ref="N19:N22"/>
    <mergeCell ref="O19:O22"/>
    <mergeCell ref="P19:P22"/>
    <mergeCell ref="Q19:Q22"/>
    <mergeCell ref="N23:N26"/>
    <mergeCell ref="E27:E30"/>
    <mergeCell ref="H27:H30"/>
    <mergeCell ref="L27:L30"/>
    <mergeCell ref="F23:F26"/>
    <mergeCell ref="G23:G26"/>
    <mergeCell ref="I23:I26"/>
    <mergeCell ref="J23:J26"/>
    <mergeCell ref="M23:M26"/>
    <mergeCell ref="AZ23:AZ26"/>
    <mergeCell ref="BA23:BA26"/>
    <mergeCell ref="R24:S24"/>
    <mergeCell ref="R25:S25"/>
    <mergeCell ref="R26:S26"/>
    <mergeCell ref="AU23:AU26"/>
    <mergeCell ref="AV23:AV26"/>
    <mergeCell ref="AW23:AW26"/>
    <mergeCell ref="AX23:AX26"/>
    <mergeCell ref="AY23:AY26"/>
    <mergeCell ref="AP23:AP26"/>
    <mergeCell ref="AQ23:AQ26"/>
    <mergeCell ref="AR23:AR26"/>
    <mergeCell ref="AS23:AS26"/>
    <mergeCell ref="AT23:AT26"/>
    <mergeCell ref="H23:H26"/>
    <mergeCell ref="L23:L25"/>
    <mergeCell ref="B31:B34"/>
    <mergeCell ref="C31:C34"/>
    <mergeCell ref="D31:D34"/>
    <mergeCell ref="E31:E34"/>
    <mergeCell ref="AZ27:AZ30"/>
    <mergeCell ref="BA27:BA30"/>
    <mergeCell ref="R28:S28"/>
    <mergeCell ref="R29:S29"/>
    <mergeCell ref="R30:S30"/>
    <mergeCell ref="AU27:AU30"/>
    <mergeCell ref="AV27:AV30"/>
    <mergeCell ref="AW27:AW30"/>
    <mergeCell ref="AX27:AX30"/>
    <mergeCell ref="AY27:AY30"/>
    <mergeCell ref="AP27:AP30"/>
    <mergeCell ref="AQ27:AQ30"/>
    <mergeCell ref="AR27:AR30"/>
    <mergeCell ref="AS27:AS30"/>
    <mergeCell ref="AT27:AT30"/>
    <mergeCell ref="N27:N30"/>
    <mergeCell ref="O27:O30"/>
    <mergeCell ref="P27:P30"/>
    <mergeCell ref="Q27:Q30"/>
    <mergeCell ref="N31:N34"/>
    <mergeCell ref="F27:F30"/>
    <mergeCell ref="G27:G30"/>
    <mergeCell ref="I27:I30"/>
    <mergeCell ref="J27:J30"/>
    <mergeCell ref="M27:M30"/>
    <mergeCell ref="B27:B30"/>
    <mergeCell ref="C27:C30"/>
    <mergeCell ref="D27:D30"/>
    <mergeCell ref="AY35:AY38"/>
    <mergeCell ref="AP35:AP38"/>
    <mergeCell ref="AQ35:AQ38"/>
    <mergeCell ref="AR35:AR38"/>
    <mergeCell ref="AS35:AS38"/>
    <mergeCell ref="AT35:AT38"/>
    <mergeCell ref="R35:S35"/>
    <mergeCell ref="Q31:Q34"/>
    <mergeCell ref="R31:S31"/>
    <mergeCell ref="F31:F34"/>
    <mergeCell ref="G31:G34"/>
    <mergeCell ref="I31:I34"/>
    <mergeCell ref="J31:J34"/>
    <mergeCell ref="M31:M34"/>
    <mergeCell ref="AZ31:AZ34"/>
    <mergeCell ref="BA31:BA34"/>
    <mergeCell ref="R32:S32"/>
    <mergeCell ref="R33:S33"/>
    <mergeCell ref="R34:S34"/>
    <mergeCell ref="AU31:AU34"/>
    <mergeCell ref="AV31:AV34"/>
    <mergeCell ref="AW31:AW34"/>
    <mergeCell ref="AX31:AX34"/>
    <mergeCell ref="AY31:AY34"/>
    <mergeCell ref="AP31:AP34"/>
    <mergeCell ref="AQ31:AQ34"/>
    <mergeCell ref="AR31:AR34"/>
    <mergeCell ref="AS31:AS34"/>
    <mergeCell ref="AT31:AT34"/>
    <mergeCell ref="H31:H34"/>
    <mergeCell ref="L31:L34"/>
    <mergeCell ref="H35:H38"/>
    <mergeCell ref="F39:F42"/>
    <mergeCell ref="G39:G42"/>
    <mergeCell ref="I39:I42"/>
    <mergeCell ref="J39:J42"/>
    <mergeCell ref="M39:M42"/>
    <mergeCell ref="B39:B42"/>
    <mergeCell ref="C39:C42"/>
    <mergeCell ref="D39:D42"/>
    <mergeCell ref="E39:E42"/>
    <mergeCell ref="AZ35:AZ38"/>
    <mergeCell ref="N35:N38"/>
    <mergeCell ref="O35:O38"/>
    <mergeCell ref="P35:P38"/>
    <mergeCell ref="Q35:Q38"/>
    <mergeCell ref="N39:N42"/>
    <mergeCell ref="F35:F38"/>
    <mergeCell ref="G35:G38"/>
    <mergeCell ref="I35:I38"/>
    <mergeCell ref="J35:J38"/>
    <mergeCell ref="M35:M38"/>
    <mergeCell ref="B35:B38"/>
    <mergeCell ref="C35:C38"/>
    <mergeCell ref="D35:D38"/>
    <mergeCell ref="E35:E38"/>
    <mergeCell ref="H39:H42"/>
    <mergeCell ref="R36:S36"/>
    <mergeCell ref="R37:S37"/>
    <mergeCell ref="R38:S38"/>
    <mergeCell ref="AU35:AU38"/>
    <mergeCell ref="AV35:AV38"/>
    <mergeCell ref="AW35:AW38"/>
    <mergeCell ref="AX35:AX38"/>
    <mergeCell ref="AZ39:AZ42"/>
    <mergeCell ref="BA39:BA42"/>
    <mergeCell ref="R40:S40"/>
    <mergeCell ref="R41:S41"/>
    <mergeCell ref="R42:S42"/>
    <mergeCell ref="AU39:AU42"/>
    <mergeCell ref="AV39:AV42"/>
    <mergeCell ref="AW39:AW42"/>
    <mergeCell ref="AX39:AX42"/>
    <mergeCell ref="AY39:AY42"/>
    <mergeCell ref="AP39:AP42"/>
    <mergeCell ref="AQ39:AQ42"/>
    <mergeCell ref="AR39:AR42"/>
    <mergeCell ref="AS39:AS42"/>
    <mergeCell ref="AT39:AT42"/>
    <mergeCell ref="O39:O42"/>
    <mergeCell ref="P39:P42"/>
    <mergeCell ref="Q39:Q42"/>
    <mergeCell ref="R39:S39"/>
    <mergeCell ref="AS43:AS46"/>
    <mergeCell ref="AT43:AT46"/>
    <mergeCell ref="N43:N46"/>
    <mergeCell ref="O43:O46"/>
    <mergeCell ref="P43:P46"/>
    <mergeCell ref="Q43:Q46"/>
    <mergeCell ref="R43:S43"/>
    <mergeCell ref="F43:F46"/>
    <mergeCell ref="G43:G46"/>
    <mergeCell ref="I43:I46"/>
    <mergeCell ref="J43:J46"/>
    <mergeCell ref="M43:M46"/>
    <mergeCell ref="H43:H46"/>
    <mergeCell ref="R44:S44"/>
    <mergeCell ref="R45:S45"/>
    <mergeCell ref="R46:S46"/>
    <mergeCell ref="B43:B46"/>
    <mergeCell ref="C43:C46"/>
    <mergeCell ref="D43:D46"/>
    <mergeCell ref="E43:E46"/>
    <mergeCell ref="B2:S2"/>
    <mergeCell ref="B3:S4"/>
    <mergeCell ref="AR2:BJ2"/>
    <mergeCell ref="AR3:BJ4"/>
    <mergeCell ref="T2:AQ2"/>
    <mergeCell ref="T3:AQ4"/>
    <mergeCell ref="R48:S48"/>
    <mergeCell ref="B85:B86"/>
    <mergeCell ref="C85:C86"/>
    <mergeCell ref="D85:D86"/>
    <mergeCell ref="E85:E86"/>
    <mergeCell ref="F85:F86"/>
    <mergeCell ref="G85:G86"/>
    <mergeCell ref="H85:H86"/>
    <mergeCell ref="I85:I86"/>
    <mergeCell ref="J85:J86"/>
    <mergeCell ref="M85:M86"/>
    <mergeCell ref="N85:N86"/>
    <mergeCell ref="O85:O86"/>
    <mergeCell ref="P85:P86"/>
    <mergeCell ref="Q85:Q86"/>
    <mergeCell ref="AP85:AP86"/>
    <mergeCell ref="AQ85:AQ86"/>
    <mergeCell ref="AR85:AR86"/>
    <mergeCell ref="AU43:AU46"/>
    <mergeCell ref="AV43:AV46"/>
    <mergeCell ref="AW43:AW46"/>
    <mergeCell ref="AX43:AX46"/>
    <mergeCell ref="AY43:AY46"/>
    <mergeCell ref="AP43:AP46"/>
    <mergeCell ref="AQ43:AQ46"/>
    <mergeCell ref="AR43:AR46"/>
    <mergeCell ref="AV104:AV107"/>
    <mergeCell ref="AW104:AW107"/>
    <mergeCell ref="AX104:AX107"/>
    <mergeCell ref="AY104:AY107"/>
    <mergeCell ref="AZ104:AZ107"/>
    <mergeCell ref="BA104:BA107"/>
    <mergeCell ref="R105:S105"/>
    <mergeCell ref="R106:S106"/>
    <mergeCell ref="R107:S107"/>
    <mergeCell ref="B104:B107"/>
    <mergeCell ref="C104:C107"/>
    <mergeCell ref="D104:D107"/>
    <mergeCell ref="E104:E107"/>
    <mergeCell ref="F104:F107"/>
    <mergeCell ref="G104:G107"/>
    <mergeCell ref="H104:H107"/>
    <mergeCell ref="I104:I107"/>
    <mergeCell ref="J104:J107"/>
    <mergeCell ref="M104:M107"/>
    <mergeCell ref="N104:N107"/>
    <mergeCell ref="O104:O107"/>
    <mergeCell ref="P104:P107"/>
    <mergeCell ref="Q104:Q107"/>
    <mergeCell ref="R104:S104"/>
    <mergeCell ref="AP104:AP107"/>
    <mergeCell ref="AQ104:AQ107"/>
    <mergeCell ref="AR104:AR107"/>
    <mergeCell ref="AS104:AS107"/>
    <mergeCell ref="AT104:AT107"/>
    <mergeCell ref="AU104:AU107"/>
    <mergeCell ref="BA108:BA111"/>
    <mergeCell ref="M108:M111"/>
    <mergeCell ref="N108:N111"/>
    <mergeCell ref="O108:O111"/>
    <mergeCell ref="P108:P111"/>
    <mergeCell ref="Q108:Q111"/>
    <mergeCell ref="R108:S108"/>
    <mergeCell ref="AP108:AP111"/>
    <mergeCell ref="AQ108:AQ111"/>
    <mergeCell ref="AR108:AR111"/>
    <mergeCell ref="R109:S109"/>
    <mergeCell ref="R110:S110"/>
    <mergeCell ref="R111:S111"/>
    <mergeCell ref="B108:B111"/>
    <mergeCell ref="C108:C111"/>
    <mergeCell ref="D108:D111"/>
    <mergeCell ref="E108:E111"/>
    <mergeCell ref="F108:F111"/>
    <mergeCell ref="G108:G111"/>
    <mergeCell ref="H108:H111"/>
    <mergeCell ref="I108:I111"/>
    <mergeCell ref="J108:J111"/>
    <mergeCell ref="B112:B115"/>
    <mergeCell ref="C112:C115"/>
    <mergeCell ref="D112:D115"/>
    <mergeCell ref="E112:E115"/>
    <mergeCell ref="F112:F115"/>
    <mergeCell ref="G112:G115"/>
    <mergeCell ref="H112:H115"/>
    <mergeCell ref="I112:I115"/>
    <mergeCell ref="J112:J115"/>
    <mergeCell ref="AS108:AS111"/>
    <mergeCell ref="AT108:AT111"/>
    <mergeCell ref="AU108:AU111"/>
    <mergeCell ref="AV108:AV111"/>
    <mergeCell ref="AW108:AW111"/>
    <mergeCell ref="AX108:AX111"/>
    <mergeCell ref="AY108:AY111"/>
    <mergeCell ref="AZ108:AZ111"/>
    <mergeCell ref="E116:E119"/>
    <mergeCell ref="F116:F119"/>
    <mergeCell ref="G116:G119"/>
    <mergeCell ref="H116:H119"/>
    <mergeCell ref="I116:I119"/>
    <mergeCell ref="J116:J119"/>
    <mergeCell ref="AS112:AS115"/>
    <mergeCell ref="AT112:AT115"/>
    <mergeCell ref="AU112:AU115"/>
    <mergeCell ref="AV112:AV115"/>
    <mergeCell ref="AW112:AW115"/>
    <mergeCell ref="AX112:AX115"/>
    <mergeCell ref="AY112:AY115"/>
    <mergeCell ref="AZ112:AZ115"/>
    <mergeCell ref="BA112:BA115"/>
    <mergeCell ref="M112:M115"/>
    <mergeCell ref="N112:N115"/>
    <mergeCell ref="O112:O115"/>
    <mergeCell ref="P112:P115"/>
    <mergeCell ref="Q112:Q115"/>
    <mergeCell ref="R112:S112"/>
    <mergeCell ref="AP112:AP115"/>
    <mergeCell ref="AQ112:AQ115"/>
    <mergeCell ref="AR112:AR115"/>
    <mergeCell ref="R113:S113"/>
    <mergeCell ref="R114:S114"/>
    <mergeCell ref="R115:S115"/>
    <mergeCell ref="B120:B123"/>
    <mergeCell ref="C120:C123"/>
    <mergeCell ref="D120:D123"/>
    <mergeCell ref="E120:E123"/>
    <mergeCell ref="F120:F123"/>
    <mergeCell ref="G120:G123"/>
    <mergeCell ref="H120:H123"/>
    <mergeCell ref="I120:I123"/>
    <mergeCell ref="J120:J123"/>
    <mergeCell ref="AS116:AS119"/>
    <mergeCell ref="AT116:AT119"/>
    <mergeCell ref="AU116:AU119"/>
    <mergeCell ref="AV116:AV119"/>
    <mergeCell ref="AW116:AW119"/>
    <mergeCell ref="AX116:AX119"/>
    <mergeCell ref="AY116:AY119"/>
    <mergeCell ref="AZ116:AZ119"/>
    <mergeCell ref="M116:M119"/>
    <mergeCell ref="N116:N119"/>
    <mergeCell ref="O116:O119"/>
    <mergeCell ref="P116:P119"/>
    <mergeCell ref="Q116:Q119"/>
    <mergeCell ref="R116:S116"/>
    <mergeCell ref="AP116:AP119"/>
    <mergeCell ref="AQ116:AQ119"/>
    <mergeCell ref="AR116:AR119"/>
    <mergeCell ref="R117:S117"/>
    <mergeCell ref="R118:S118"/>
    <mergeCell ref="R119:S119"/>
    <mergeCell ref="B116:B119"/>
    <mergeCell ref="C116:C119"/>
    <mergeCell ref="D116:D119"/>
    <mergeCell ref="J124:J127"/>
    <mergeCell ref="AS120:AS123"/>
    <mergeCell ref="AT120:AT123"/>
    <mergeCell ref="AU120:AU123"/>
    <mergeCell ref="AV120:AV123"/>
    <mergeCell ref="AW120:AW123"/>
    <mergeCell ref="AX120:AX123"/>
    <mergeCell ref="AY120:AY123"/>
    <mergeCell ref="AZ120:AZ123"/>
    <mergeCell ref="BA120:BA123"/>
    <mergeCell ref="M120:M123"/>
    <mergeCell ref="N120:N123"/>
    <mergeCell ref="O120:O123"/>
    <mergeCell ref="P120:P123"/>
    <mergeCell ref="Q120:Q123"/>
    <mergeCell ref="R120:S120"/>
    <mergeCell ref="AP120:AP123"/>
    <mergeCell ref="AQ120:AQ123"/>
    <mergeCell ref="AR120:AR123"/>
    <mergeCell ref="R121:S121"/>
    <mergeCell ref="R122:S122"/>
    <mergeCell ref="R123:S123"/>
    <mergeCell ref="L92:L95"/>
    <mergeCell ref="L96:L99"/>
    <mergeCell ref="BF96:BF97"/>
    <mergeCell ref="L100:L103"/>
    <mergeCell ref="L104:L107"/>
    <mergeCell ref="L108:L111"/>
    <mergeCell ref="L112:L115"/>
    <mergeCell ref="L116:L119"/>
    <mergeCell ref="BG116:BG119"/>
    <mergeCell ref="BF108:BF127"/>
    <mergeCell ref="AS124:AS127"/>
    <mergeCell ref="AT124:AT127"/>
    <mergeCell ref="AU124:AU127"/>
    <mergeCell ref="AV124:AV127"/>
    <mergeCell ref="AW124:AW127"/>
    <mergeCell ref="AX124:AX127"/>
    <mergeCell ref="AY124:AY127"/>
    <mergeCell ref="AZ124:AZ127"/>
    <mergeCell ref="BA124:BA127"/>
    <mergeCell ref="M124:M127"/>
    <mergeCell ref="N124:N127"/>
    <mergeCell ref="O124:O127"/>
    <mergeCell ref="P124:P127"/>
    <mergeCell ref="Q124:Q127"/>
    <mergeCell ref="R124:S124"/>
    <mergeCell ref="AP124:AP127"/>
    <mergeCell ref="AQ124:AQ127"/>
    <mergeCell ref="AR124:AR127"/>
    <mergeCell ref="R125:S125"/>
    <mergeCell ref="R126:S126"/>
    <mergeCell ref="R127:S127"/>
    <mergeCell ref="BA116:BA119"/>
    <mergeCell ref="BA128:BA131"/>
    <mergeCell ref="M128:M131"/>
    <mergeCell ref="N128:N131"/>
    <mergeCell ref="O128:O131"/>
    <mergeCell ref="P128:P131"/>
    <mergeCell ref="Q128:Q131"/>
    <mergeCell ref="R128:S128"/>
    <mergeCell ref="AP128:AP131"/>
    <mergeCell ref="AQ128:AQ131"/>
    <mergeCell ref="AR128:AR131"/>
    <mergeCell ref="R129:S129"/>
    <mergeCell ref="R130:S130"/>
    <mergeCell ref="R131:S131"/>
    <mergeCell ref="L120:L122"/>
    <mergeCell ref="B128:B131"/>
    <mergeCell ref="C128:C131"/>
    <mergeCell ref="D128:D131"/>
    <mergeCell ref="E128:E131"/>
    <mergeCell ref="F128:F131"/>
    <mergeCell ref="G128:G131"/>
    <mergeCell ref="H128:H131"/>
    <mergeCell ref="I128:I131"/>
    <mergeCell ref="J128:J131"/>
    <mergeCell ref="L124:L125"/>
    <mergeCell ref="B124:B127"/>
    <mergeCell ref="C124:C127"/>
    <mergeCell ref="D124:D127"/>
    <mergeCell ref="E124:E127"/>
    <mergeCell ref="F124:F127"/>
    <mergeCell ref="G124:G127"/>
    <mergeCell ref="H124:H127"/>
    <mergeCell ref="I124:I127"/>
    <mergeCell ref="B132:B135"/>
    <mergeCell ref="C132:C135"/>
    <mergeCell ref="D132:D135"/>
    <mergeCell ref="E132:E135"/>
    <mergeCell ref="F132:F135"/>
    <mergeCell ref="G132:G135"/>
    <mergeCell ref="H132:H135"/>
    <mergeCell ref="I132:I135"/>
    <mergeCell ref="J132:J135"/>
    <mergeCell ref="AS128:AS131"/>
    <mergeCell ref="AT128:AT131"/>
    <mergeCell ref="AU128:AU131"/>
    <mergeCell ref="AV128:AV131"/>
    <mergeCell ref="AW128:AW131"/>
    <mergeCell ref="AX128:AX131"/>
    <mergeCell ref="AY128:AY131"/>
    <mergeCell ref="AZ128:AZ131"/>
    <mergeCell ref="E136:E139"/>
    <mergeCell ref="F136:F139"/>
    <mergeCell ref="G136:G139"/>
    <mergeCell ref="H136:H139"/>
    <mergeCell ref="I136:I139"/>
    <mergeCell ref="J136:J139"/>
    <mergeCell ref="AS132:AS135"/>
    <mergeCell ref="AT132:AT135"/>
    <mergeCell ref="AU132:AU135"/>
    <mergeCell ref="AV132:AV135"/>
    <mergeCell ref="AW132:AW135"/>
    <mergeCell ref="AX132:AX135"/>
    <mergeCell ref="AY132:AY135"/>
    <mergeCell ref="AZ132:AZ135"/>
    <mergeCell ref="BA132:BA135"/>
    <mergeCell ref="M132:M135"/>
    <mergeCell ref="N132:N135"/>
    <mergeCell ref="O132:O135"/>
    <mergeCell ref="P132:P135"/>
    <mergeCell ref="Q132:Q135"/>
    <mergeCell ref="R132:S132"/>
    <mergeCell ref="AP132:AP135"/>
    <mergeCell ref="AQ132:AQ135"/>
    <mergeCell ref="AR132:AR135"/>
    <mergeCell ref="R133:S133"/>
    <mergeCell ref="R134:S134"/>
    <mergeCell ref="R135:S135"/>
    <mergeCell ref="B140:B143"/>
    <mergeCell ref="C140:C143"/>
    <mergeCell ref="D140:D143"/>
    <mergeCell ref="E140:E143"/>
    <mergeCell ref="F140:F143"/>
    <mergeCell ref="G140:G143"/>
    <mergeCell ref="H140:H143"/>
    <mergeCell ref="I140:I143"/>
    <mergeCell ref="J140:J143"/>
    <mergeCell ref="AS136:AS139"/>
    <mergeCell ref="AT136:AT139"/>
    <mergeCell ref="AU136:AU139"/>
    <mergeCell ref="AV136:AV139"/>
    <mergeCell ref="AW136:AW139"/>
    <mergeCell ref="AX136:AX139"/>
    <mergeCell ref="AY136:AY139"/>
    <mergeCell ref="AZ136:AZ139"/>
    <mergeCell ref="M136:M139"/>
    <mergeCell ref="N136:N139"/>
    <mergeCell ref="O136:O139"/>
    <mergeCell ref="P136:P139"/>
    <mergeCell ref="Q136:Q139"/>
    <mergeCell ref="R136:S136"/>
    <mergeCell ref="AP136:AP139"/>
    <mergeCell ref="AQ136:AQ139"/>
    <mergeCell ref="AR136:AR139"/>
    <mergeCell ref="R137:S137"/>
    <mergeCell ref="R138:S138"/>
    <mergeCell ref="R139:S139"/>
    <mergeCell ref="B136:B139"/>
    <mergeCell ref="C136:C139"/>
    <mergeCell ref="D136:D139"/>
    <mergeCell ref="E144:E147"/>
    <mergeCell ref="F144:F147"/>
    <mergeCell ref="G144:G147"/>
    <mergeCell ref="H144:H147"/>
    <mergeCell ref="I144:I147"/>
    <mergeCell ref="J144:J147"/>
    <mergeCell ref="AS140:AS143"/>
    <mergeCell ref="AT140:AT143"/>
    <mergeCell ref="AU140:AU143"/>
    <mergeCell ref="AV140:AV143"/>
    <mergeCell ref="AW140:AW143"/>
    <mergeCell ref="AX140:AX143"/>
    <mergeCell ref="AY140:AY143"/>
    <mergeCell ref="AZ140:AZ143"/>
    <mergeCell ref="BA140:BA143"/>
    <mergeCell ref="M140:M143"/>
    <mergeCell ref="N140:N143"/>
    <mergeCell ref="O140:O143"/>
    <mergeCell ref="P140:P143"/>
    <mergeCell ref="Q140:Q143"/>
    <mergeCell ref="R140:S140"/>
    <mergeCell ref="AP140:AP143"/>
    <mergeCell ref="AQ140:AQ143"/>
    <mergeCell ref="AR140:AR143"/>
    <mergeCell ref="R141:S141"/>
    <mergeCell ref="R142:S142"/>
    <mergeCell ref="R143:S143"/>
    <mergeCell ref="B150:B151"/>
    <mergeCell ref="C150:C151"/>
    <mergeCell ref="D150:D151"/>
    <mergeCell ref="E150:E151"/>
    <mergeCell ref="F150:F151"/>
    <mergeCell ref="G150:G151"/>
    <mergeCell ref="H150:H151"/>
    <mergeCell ref="I150:I151"/>
    <mergeCell ref="J150:J151"/>
    <mergeCell ref="AS144:AS147"/>
    <mergeCell ref="AT144:AT147"/>
    <mergeCell ref="AU144:AU147"/>
    <mergeCell ref="AV144:AV147"/>
    <mergeCell ref="AW144:AW147"/>
    <mergeCell ref="AX144:AX147"/>
    <mergeCell ref="AY144:AY147"/>
    <mergeCell ref="AZ144:AZ147"/>
    <mergeCell ref="M144:M147"/>
    <mergeCell ref="N144:N147"/>
    <mergeCell ref="O144:O147"/>
    <mergeCell ref="P144:P147"/>
    <mergeCell ref="Q144:Q147"/>
    <mergeCell ref="R144:S144"/>
    <mergeCell ref="AP144:AP147"/>
    <mergeCell ref="AQ144:AQ147"/>
    <mergeCell ref="AR144:AR147"/>
    <mergeCell ref="R145:S145"/>
    <mergeCell ref="R146:S146"/>
    <mergeCell ref="R147:S147"/>
    <mergeCell ref="B144:B147"/>
    <mergeCell ref="C144:C147"/>
    <mergeCell ref="D144:D147"/>
    <mergeCell ref="B152:B155"/>
    <mergeCell ref="C152:C155"/>
    <mergeCell ref="D152:D155"/>
    <mergeCell ref="E152:E155"/>
    <mergeCell ref="F152:F155"/>
    <mergeCell ref="G152:G155"/>
    <mergeCell ref="H152:H155"/>
    <mergeCell ref="I152:I155"/>
    <mergeCell ref="J152:J155"/>
    <mergeCell ref="R150:S150"/>
    <mergeCell ref="R151:S151"/>
    <mergeCell ref="AS148:AS149"/>
    <mergeCell ref="AT148:AT149"/>
    <mergeCell ref="AU148:AU149"/>
    <mergeCell ref="AV148:AV149"/>
    <mergeCell ref="AW148:AW149"/>
    <mergeCell ref="AX148:AX149"/>
    <mergeCell ref="AS150:AS151"/>
    <mergeCell ref="AT150:AT151"/>
    <mergeCell ref="AU150:AU151"/>
    <mergeCell ref="AV150:AV151"/>
    <mergeCell ref="AW150:AW151"/>
    <mergeCell ref="AX150:AX151"/>
    <mergeCell ref="R148:S148"/>
    <mergeCell ref="R149:S149"/>
    <mergeCell ref="M148:M149"/>
    <mergeCell ref="N148:N149"/>
    <mergeCell ref="O148:O149"/>
    <mergeCell ref="P148:P149"/>
    <mergeCell ref="Q148:Q149"/>
    <mergeCell ref="AP148:AP149"/>
    <mergeCell ref="AQ148:AQ149"/>
    <mergeCell ref="E156:E159"/>
    <mergeCell ref="F156:F159"/>
    <mergeCell ref="G156:G159"/>
    <mergeCell ref="H156:H159"/>
    <mergeCell ref="I156:I159"/>
    <mergeCell ref="J156:J159"/>
    <mergeCell ref="AS152:AS155"/>
    <mergeCell ref="AT152:AT155"/>
    <mergeCell ref="AU152:AU155"/>
    <mergeCell ref="AV152:AV155"/>
    <mergeCell ref="AW152:AW155"/>
    <mergeCell ref="AX152:AX155"/>
    <mergeCell ref="AY152:AY155"/>
    <mergeCell ref="AZ152:AZ155"/>
    <mergeCell ref="BA152:BA155"/>
    <mergeCell ref="M152:M155"/>
    <mergeCell ref="N152:N155"/>
    <mergeCell ref="O152:O155"/>
    <mergeCell ref="P152:P155"/>
    <mergeCell ref="Q152:Q155"/>
    <mergeCell ref="AP152:AP155"/>
    <mergeCell ref="AQ152:AQ155"/>
    <mergeCell ref="AR152:AR155"/>
    <mergeCell ref="R154:S154"/>
    <mergeCell ref="R155:S155"/>
    <mergeCell ref="AH152:AH153"/>
    <mergeCell ref="AI152:AI153"/>
    <mergeCell ref="AJ152:AJ153"/>
    <mergeCell ref="AK152:AK153"/>
    <mergeCell ref="AM152:AM153"/>
    <mergeCell ref="AN152:AN153"/>
    <mergeCell ref="AO152:AO153"/>
    <mergeCell ref="I160:I161"/>
    <mergeCell ref="J160:J161"/>
    <mergeCell ref="B162:B163"/>
    <mergeCell ref="C162:C163"/>
    <mergeCell ref="D162:D163"/>
    <mergeCell ref="E162:E163"/>
    <mergeCell ref="F162:F163"/>
    <mergeCell ref="G162:G163"/>
    <mergeCell ref="AS156:AS159"/>
    <mergeCell ref="AT156:AT159"/>
    <mergeCell ref="AU156:AU159"/>
    <mergeCell ref="AV156:AV159"/>
    <mergeCell ref="AW156:AW159"/>
    <mergeCell ref="AX156:AX159"/>
    <mergeCell ref="AY156:AY159"/>
    <mergeCell ref="AZ156:AZ159"/>
    <mergeCell ref="BA156:BA159"/>
    <mergeCell ref="M156:M159"/>
    <mergeCell ref="N156:N159"/>
    <mergeCell ref="O156:O159"/>
    <mergeCell ref="P156:P159"/>
    <mergeCell ref="Q156:Q159"/>
    <mergeCell ref="R156:S156"/>
    <mergeCell ref="AP156:AP159"/>
    <mergeCell ref="AQ156:AQ159"/>
    <mergeCell ref="AR156:AR159"/>
    <mergeCell ref="R157:S157"/>
    <mergeCell ref="R158:S158"/>
    <mergeCell ref="R159:S159"/>
    <mergeCell ref="B156:B159"/>
    <mergeCell ref="C156:C159"/>
    <mergeCell ref="D156:D159"/>
    <mergeCell ref="AW164:AW165"/>
    <mergeCell ref="AX164:AX165"/>
    <mergeCell ref="AY164:AY165"/>
    <mergeCell ref="AZ164:AZ165"/>
    <mergeCell ref="BA164:BA165"/>
    <mergeCell ref="R162:S162"/>
    <mergeCell ref="R163:S163"/>
    <mergeCell ref="B164:B165"/>
    <mergeCell ref="C164:C165"/>
    <mergeCell ref="D164:D165"/>
    <mergeCell ref="E164:E165"/>
    <mergeCell ref="F164:F165"/>
    <mergeCell ref="G164:G165"/>
    <mergeCell ref="H164:H165"/>
    <mergeCell ref="I164:I165"/>
    <mergeCell ref="J164:J165"/>
    <mergeCell ref="AY160:AY161"/>
    <mergeCell ref="AZ160:AZ161"/>
    <mergeCell ref="BA160:BA161"/>
    <mergeCell ref="AS162:AS163"/>
    <mergeCell ref="AT162:AT163"/>
    <mergeCell ref="AU162:AU163"/>
    <mergeCell ref="AV162:AV163"/>
    <mergeCell ref="AW162:AW163"/>
    <mergeCell ref="AX162:AX163"/>
    <mergeCell ref="AY162:AY163"/>
    <mergeCell ref="AZ162:AZ163"/>
    <mergeCell ref="BA162:BA163"/>
    <mergeCell ref="X160:X161"/>
    <mergeCell ref="Z160:Z161"/>
    <mergeCell ref="AB160:AB161"/>
    <mergeCell ref="AD160:AD161"/>
    <mergeCell ref="B148:B149"/>
    <mergeCell ref="C148:C149"/>
    <mergeCell ref="D148:D149"/>
    <mergeCell ref="E148:E149"/>
    <mergeCell ref="F148:F149"/>
    <mergeCell ref="G148:G149"/>
    <mergeCell ref="H148:H149"/>
    <mergeCell ref="I148:I149"/>
    <mergeCell ref="J148:J149"/>
    <mergeCell ref="L148:L149"/>
    <mergeCell ref="R166:S166"/>
    <mergeCell ref="R164:S164"/>
    <mergeCell ref="R165:S165"/>
    <mergeCell ref="AS164:AS165"/>
    <mergeCell ref="AT164:AT165"/>
    <mergeCell ref="AU164:AU165"/>
    <mergeCell ref="AV164:AV165"/>
    <mergeCell ref="AF160:AF161"/>
    <mergeCell ref="AH160:AH161"/>
    <mergeCell ref="AI160:AI161"/>
    <mergeCell ref="AJ160:AJ161"/>
    <mergeCell ref="AK160:AK161"/>
    <mergeCell ref="AM160:AM161"/>
    <mergeCell ref="AN160:AN161"/>
    <mergeCell ref="AO160:AO161"/>
    <mergeCell ref="B160:B161"/>
    <mergeCell ref="C160:C161"/>
    <mergeCell ref="D160:D161"/>
    <mergeCell ref="E160:E161"/>
    <mergeCell ref="F160:F161"/>
    <mergeCell ref="G160:G161"/>
    <mergeCell ref="H160:H161"/>
    <mergeCell ref="AY150:AY151"/>
    <mergeCell ref="AZ150:AZ151"/>
    <mergeCell ref="BA150:BA151"/>
    <mergeCell ref="AM150:AM151"/>
    <mergeCell ref="AN150:AN151"/>
    <mergeCell ref="AO150:AO151"/>
    <mergeCell ref="L150:L151"/>
    <mergeCell ref="M150:M151"/>
    <mergeCell ref="N150:N151"/>
    <mergeCell ref="O150:O151"/>
    <mergeCell ref="P150:P151"/>
    <mergeCell ref="Q150:Q151"/>
    <mergeCell ref="AP150:AP151"/>
    <mergeCell ref="AQ150:AQ151"/>
    <mergeCell ref="AR150:AR151"/>
    <mergeCell ref="L136:L139"/>
    <mergeCell ref="L140:L143"/>
    <mergeCell ref="L144:L147"/>
    <mergeCell ref="AY148:AY149"/>
    <mergeCell ref="AZ148:AZ149"/>
    <mergeCell ref="BA148:BA149"/>
    <mergeCell ref="AR148:AR149"/>
    <mergeCell ref="BA144:BA147"/>
    <mergeCell ref="BA136:BA139"/>
    <mergeCell ref="BB150:BB151"/>
    <mergeCell ref="BC150:BC151"/>
    <mergeCell ref="BD150:BD151"/>
    <mergeCell ref="BE150:BE151"/>
    <mergeCell ref="BF150:BF151"/>
    <mergeCell ref="BG150:BG151"/>
    <mergeCell ref="BH150:BH151"/>
    <mergeCell ref="BI150:BI151"/>
    <mergeCell ref="BJ150:BJ151"/>
    <mergeCell ref="BB148:BB149"/>
    <mergeCell ref="BC148:BC149"/>
    <mergeCell ref="BD148:BD149"/>
    <mergeCell ref="BE148:BE149"/>
    <mergeCell ref="BF148:BF149"/>
    <mergeCell ref="BG148:BG149"/>
    <mergeCell ref="BH148:BH149"/>
    <mergeCell ref="BI148:BI149"/>
    <mergeCell ref="BJ148:BJ149"/>
    <mergeCell ref="BB152:BB155"/>
    <mergeCell ref="BC152:BC155"/>
    <mergeCell ref="BD152:BD155"/>
    <mergeCell ref="BE152:BE155"/>
    <mergeCell ref="BF152:BF155"/>
    <mergeCell ref="BG152:BG155"/>
    <mergeCell ref="BH152:BH155"/>
    <mergeCell ref="BI152:BI155"/>
    <mergeCell ref="BJ152:BJ155"/>
    <mergeCell ref="L152:L153"/>
    <mergeCell ref="R152:S153"/>
    <mergeCell ref="T152:T153"/>
    <mergeCell ref="V152:V153"/>
    <mergeCell ref="X152:X153"/>
    <mergeCell ref="Z152:Z153"/>
    <mergeCell ref="AB152:AB153"/>
    <mergeCell ref="AD152:AD153"/>
    <mergeCell ref="AF152:AF153"/>
    <mergeCell ref="AP160:AP161"/>
    <mergeCell ref="AQ160:AQ161"/>
    <mergeCell ref="AR160:AR161"/>
    <mergeCell ref="AS160:AS161"/>
    <mergeCell ref="AT160:AT161"/>
    <mergeCell ref="AU160:AU161"/>
    <mergeCell ref="AV160:AV161"/>
    <mergeCell ref="AW160:AW161"/>
    <mergeCell ref="AX160:AX161"/>
    <mergeCell ref="L160:L161"/>
    <mergeCell ref="M160:M161"/>
    <mergeCell ref="N160:N161"/>
    <mergeCell ref="O160:O161"/>
    <mergeCell ref="P160:P161"/>
    <mergeCell ref="Q160:Q161"/>
    <mergeCell ref="R160:S161"/>
    <mergeCell ref="T160:T161"/>
    <mergeCell ref="V160:V161"/>
    <mergeCell ref="E167:E170"/>
    <mergeCell ref="F167:F170"/>
    <mergeCell ref="G167:G170"/>
    <mergeCell ref="H167:H170"/>
    <mergeCell ref="I167:I170"/>
    <mergeCell ref="J167:J170"/>
    <mergeCell ref="M164:M165"/>
    <mergeCell ref="N164:N165"/>
    <mergeCell ref="O164:O165"/>
    <mergeCell ref="P164:P165"/>
    <mergeCell ref="Q164:Q165"/>
    <mergeCell ref="AP164:AP165"/>
    <mergeCell ref="AQ164:AQ165"/>
    <mergeCell ref="AR164:AR165"/>
    <mergeCell ref="AP162:AP163"/>
    <mergeCell ref="AQ162:AQ163"/>
    <mergeCell ref="AR162:AR163"/>
    <mergeCell ref="H162:H163"/>
    <mergeCell ref="I162:I163"/>
    <mergeCell ref="J162:J163"/>
    <mergeCell ref="M162:M163"/>
    <mergeCell ref="N162:N163"/>
    <mergeCell ref="O162:O163"/>
    <mergeCell ref="P162:P163"/>
    <mergeCell ref="Q162:Q163"/>
    <mergeCell ref="K162:K163"/>
    <mergeCell ref="B171:B174"/>
    <mergeCell ref="C171:C174"/>
    <mergeCell ref="D171:D174"/>
    <mergeCell ref="E171:E174"/>
    <mergeCell ref="F171:F174"/>
    <mergeCell ref="G171:G174"/>
    <mergeCell ref="H171:H174"/>
    <mergeCell ref="I171:I174"/>
    <mergeCell ref="J171:J174"/>
    <mergeCell ref="AS167:AS170"/>
    <mergeCell ref="AT167:AT170"/>
    <mergeCell ref="AU167:AU170"/>
    <mergeCell ref="AV167:AV170"/>
    <mergeCell ref="AW167:AW170"/>
    <mergeCell ref="AX167:AX170"/>
    <mergeCell ref="AY167:AY170"/>
    <mergeCell ref="AZ167:AZ170"/>
    <mergeCell ref="M167:M170"/>
    <mergeCell ref="N167:N170"/>
    <mergeCell ref="O167:O170"/>
    <mergeCell ref="P167:P170"/>
    <mergeCell ref="Q167:Q170"/>
    <mergeCell ref="R167:S167"/>
    <mergeCell ref="AP167:AP170"/>
    <mergeCell ref="AQ167:AQ170"/>
    <mergeCell ref="AR167:AR170"/>
    <mergeCell ref="R168:S168"/>
    <mergeCell ref="R169:S169"/>
    <mergeCell ref="R170:S170"/>
    <mergeCell ref="B167:B170"/>
    <mergeCell ref="C167:C170"/>
    <mergeCell ref="D167:D170"/>
    <mergeCell ref="E175:E178"/>
    <mergeCell ref="F175:F178"/>
    <mergeCell ref="G175:G178"/>
    <mergeCell ref="H175:H178"/>
    <mergeCell ref="I175:I178"/>
    <mergeCell ref="J175:J178"/>
    <mergeCell ref="AS171:AS174"/>
    <mergeCell ref="AT171:AT174"/>
    <mergeCell ref="AU171:AU174"/>
    <mergeCell ref="AV171:AV174"/>
    <mergeCell ref="AW171:AW174"/>
    <mergeCell ref="AX171:AX174"/>
    <mergeCell ref="AY171:AY174"/>
    <mergeCell ref="AZ171:AZ174"/>
    <mergeCell ref="BA171:BA174"/>
    <mergeCell ref="M171:M174"/>
    <mergeCell ref="N171:N174"/>
    <mergeCell ref="O171:O174"/>
    <mergeCell ref="P171:P174"/>
    <mergeCell ref="Q171:Q174"/>
    <mergeCell ref="R171:S171"/>
    <mergeCell ref="AP171:AP174"/>
    <mergeCell ref="AQ171:AQ174"/>
    <mergeCell ref="AR171:AR174"/>
    <mergeCell ref="R172:S172"/>
    <mergeCell ref="R173:S173"/>
    <mergeCell ref="R174:S174"/>
    <mergeCell ref="B179:B182"/>
    <mergeCell ref="C179:C182"/>
    <mergeCell ref="D179:D182"/>
    <mergeCell ref="E179:E182"/>
    <mergeCell ref="F179:F182"/>
    <mergeCell ref="G179:G182"/>
    <mergeCell ref="H179:H182"/>
    <mergeCell ref="I179:I182"/>
    <mergeCell ref="J179:J182"/>
    <mergeCell ref="AS175:AS178"/>
    <mergeCell ref="AT175:AT178"/>
    <mergeCell ref="AU175:AU178"/>
    <mergeCell ref="AV175:AV178"/>
    <mergeCell ref="AW175:AW178"/>
    <mergeCell ref="AX175:AX178"/>
    <mergeCell ref="AY175:AY178"/>
    <mergeCell ref="AZ175:AZ178"/>
    <mergeCell ref="M175:M178"/>
    <mergeCell ref="N175:N178"/>
    <mergeCell ref="O175:O178"/>
    <mergeCell ref="P175:P178"/>
    <mergeCell ref="Q175:Q178"/>
    <mergeCell ref="R175:S175"/>
    <mergeCell ref="AP175:AP178"/>
    <mergeCell ref="AQ175:AQ178"/>
    <mergeCell ref="AR175:AR178"/>
    <mergeCell ref="R176:S176"/>
    <mergeCell ref="R177:S177"/>
    <mergeCell ref="R178:S178"/>
    <mergeCell ref="B175:B178"/>
    <mergeCell ref="C175:C178"/>
    <mergeCell ref="D175:D178"/>
    <mergeCell ref="E183:E186"/>
    <mergeCell ref="F183:F186"/>
    <mergeCell ref="G183:G186"/>
    <mergeCell ref="H183:H186"/>
    <mergeCell ref="I183:I186"/>
    <mergeCell ref="J183:J186"/>
    <mergeCell ref="AS179:AS182"/>
    <mergeCell ref="AT179:AT182"/>
    <mergeCell ref="AU179:AU182"/>
    <mergeCell ref="AV179:AV182"/>
    <mergeCell ref="AW179:AW182"/>
    <mergeCell ref="AX179:AX182"/>
    <mergeCell ref="AY179:AY182"/>
    <mergeCell ref="AZ179:AZ182"/>
    <mergeCell ref="BA179:BA182"/>
    <mergeCell ref="M179:M182"/>
    <mergeCell ref="N179:N182"/>
    <mergeCell ref="O179:O182"/>
    <mergeCell ref="P179:P182"/>
    <mergeCell ref="Q179:Q182"/>
    <mergeCell ref="R179:S179"/>
    <mergeCell ref="AP179:AP182"/>
    <mergeCell ref="AQ179:AQ182"/>
    <mergeCell ref="AR179:AR182"/>
    <mergeCell ref="R180:S180"/>
    <mergeCell ref="R181:S181"/>
    <mergeCell ref="R182:S182"/>
    <mergeCell ref="B187:B190"/>
    <mergeCell ref="C187:C190"/>
    <mergeCell ref="D187:D190"/>
    <mergeCell ref="E187:E190"/>
    <mergeCell ref="F187:F190"/>
    <mergeCell ref="G187:G190"/>
    <mergeCell ref="H187:H190"/>
    <mergeCell ref="I187:I190"/>
    <mergeCell ref="J187:J190"/>
    <mergeCell ref="AS183:AS186"/>
    <mergeCell ref="AT183:AT186"/>
    <mergeCell ref="AU183:AU186"/>
    <mergeCell ref="AV183:AV186"/>
    <mergeCell ref="AW183:AW186"/>
    <mergeCell ref="AX183:AX186"/>
    <mergeCell ref="AY183:AY186"/>
    <mergeCell ref="AZ183:AZ186"/>
    <mergeCell ref="M183:M186"/>
    <mergeCell ref="N183:N186"/>
    <mergeCell ref="O183:O186"/>
    <mergeCell ref="P183:P186"/>
    <mergeCell ref="Q183:Q186"/>
    <mergeCell ref="R183:S183"/>
    <mergeCell ref="AP183:AP186"/>
    <mergeCell ref="AQ183:AQ186"/>
    <mergeCell ref="AR183:AR186"/>
    <mergeCell ref="R184:S184"/>
    <mergeCell ref="R185:S185"/>
    <mergeCell ref="R186:S186"/>
    <mergeCell ref="B183:B186"/>
    <mergeCell ref="C183:C186"/>
    <mergeCell ref="D183:D186"/>
    <mergeCell ref="E191:E194"/>
    <mergeCell ref="F191:F194"/>
    <mergeCell ref="G191:G194"/>
    <mergeCell ref="H191:H194"/>
    <mergeCell ref="I191:I194"/>
    <mergeCell ref="J191:J194"/>
    <mergeCell ref="AS187:AS190"/>
    <mergeCell ref="AT187:AT190"/>
    <mergeCell ref="AU187:AU190"/>
    <mergeCell ref="AV187:AV190"/>
    <mergeCell ref="AW187:AW190"/>
    <mergeCell ref="AX187:AX190"/>
    <mergeCell ref="AY187:AY190"/>
    <mergeCell ref="AZ187:AZ190"/>
    <mergeCell ref="BA187:BA190"/>
    <mergeCell ref="M187:M190"/>
    <mergeCell ref="N187:N190"/>
    <mergeCell ref="O187:O190"/>
    <mergeCell ref="P187:P190"/>
    <mergeCell ref="Q187:Q190"/>
    <mergeCell ref="R187:S187"/>
    <mergeCell ref="AP187:AP190"/>
    <mergeCell ref="AQ187:AQ190"/>
    <mergeCell ref="AR187:AR190"/>
    <mergeCell ref="R188:S188"/>
    <mergeCell ref="R189:S189"/>
    <mergeCell ref="R190:S190"/>
    <mergeCell ref="AM195:AM198"/>
    <mergeCell ref="AN195:AN198"/>
    <mergeCell ref="AO195:AO198"/>
    <mergeCell ref="B195:B198"/>
    <mergeCell ref="C195:C198"/>
    <mergeCell ref="D195:D198"/>
    <mergeCell ref="E195:E198"/>
    <mergeCell ref="F195:F198"/>
    <mergeCell ref="G195:G198"/>
    <mergeCell ref="H195:H198"/>
    <mergeCell ref="I195:I198"/>
    <mergeCell ref="J195:J198"/>
    <mergeCell ref="AS191:AS194"/>
    <mergeCell ref="AT191:AT194"/>
    <mergeCell ref="AU191:AU194"/>
    <mergeCell ref="AV191:AV194"/>
    <mergeCell ref="AW191:AW194"/>
    <mergeCell ref="M191:M194"/>
    <mergeCell ref="N191:N194"/>
    <mergeCell ref="O191:O194"/>
    <mergeCell ref="P191:P194"/>
    <mergeCell ref="Q191:Q194"/>
    <mergeCell ref="R191:S191"/>
    <mergeCell ref="AP191:AP194"/>
    <mergeCell ref="AQ191:AQ194"/>
    <mergeCell ref="AR191:AR194"/>
    <mergeCell ref="R192:S192"/>
    <mergeCell ref="R193:S193"/>
    <mergeCell ref="R194:S194"/>
    <mergeCell ref="B191:B194"/>
    <mergeCell ref="C191:C194"/>
    <mergeCell ref="D191:D194"/>
    <mergeCell ref="BJ191:BJ193"/>
    <mergeCell ref="BG175:BG177"/>
    <mergeCell ref="BH175:BH177"/>
    <mergeCell ref="BI175:BI177"/>
    <mergeCell ref="BJ175:BJ177"/>
    <mergeCell ref="L179:L182"/>
    <mergeCell ref="L183:L186"/>
    <mergeCell ref="BG187:BG190"/>
    <mergeCell ref="BH187:BH190"/>
    <mergeCell ref="BI187:BI190"/>
    <mergeCell ref="BJ187:BJ190"/>
    <mergeCell ref="BF167:BF169"/>
    <mergeCell ref="BG167:BG169"/>
    <mergeCell ref="BH167:BH169"/>
    <mergeCell ref="BI167:BI169"/>
    <mergeCell ref="BJ167:BJ169"/>
    <mergeCell ref="BG171:BG173"/>
    <mergeCell ref="BH171:BH173"/>
    <mergeCell ref="BI171:BI173"/>
    <mergeCell ref="BJ171:BJ173"/>
    <mergeCell ref="AX191:AX194"/>
    <mergeCell ref="AY191:AY194"/>
    <mergeCell ref="AZ191:AZ194"/>
    <mergeCell ref="BA191:BA194"/>
    <mergeCell ref="BA183:BA186"/>
    <mergeCell ref="BA175:BA178"/>
    <mergeCell ref="BA167:BA170"/>
    <mergeCell ref="B199:B202"/>
    <mergeCell ref="C199:C202"/>
    <mergeCell ref="D199:D202"/>
    <mergeCell ref="E199:E202"/>
    <mergeCell ref="F199:F202"/>
    <mergeCell ref="G199:G202"/>
    <mergeCell ref="H199:H202"/>
    <mergeCell ref="I199:I202"/>
    <mergeCell ref="J199:J202"/>
    <mergeCell ref="K192:K193"/>
    <mergeCell ref="BB192:BB193"/>
    <mergeCell ref="BC192:BC193"/>
    <mergeCell ref="BD192:BD193"/>
    <mergeCell ref="BE192:BE193"/>
    <mergeCell ref="BG191:BG193"/>
    <mergeCell ref="BH191:BH193"/>
    <mergeCell ref="BI191:BI193"/>
    <mergeCell ref="AS195:AS198"/>
    <mergeCell ref="AT195:AT198"/>
    <mergeCell ref="AU195:AU198"/>
    <mergeCell ref="AV195:AV198"/>
    <mergeCell ref="AW195:AW198"/>
    <mergeCell ref="AX195:AX198"/>
    <mergeCell ref="AY195:AY198"/>
    <mergeCell ref="AZ195:AZ198"/>
    <mergeCell ref="BA195:BA198"/>
    <mergeCell ref="M195:M198"/>
    <mergeCell ref="N195:N198"/>
    <mergeCell ref="O195:O198"/>
    <mergeCell ref="P195:P198"/>
    <mergeCell ref="Q195:Q198"/>
    <mergeCell ref="AP195:AP198"/>
    <mergeCell ref="E203:E206"/>
    <mergeCell ref="F203:F206"/>
    <mergeCell ref="G203:G206"/>
    <mergeCell ref="H203:H206"/>
    <mergeCell ref="I203:I206"/>
    <mergeCell ref="J203:J206"/>
    <mergeCell ref="AS199:AS202"/>
    <mergeCell ref="AT199:AT202"/>
    <mergeCell ref="AU199:AU202"/>
    <mergeCell ref="AV199:AV202"/>
    <mergeCell ref="AW199:AW202"/>
    <mergeCell ref="AX199:AX202"/>
    <mergeCell ref="AY199:AY202"/>
    <mergeCell ref="AZ199:AZ202"/>
    <mergeCell ref="BA199:BA202"/>
    <mergeCell ref="M199:M202"/>
    <mergeCell ref="N199:N202"/>
    <mergeCell ref="O199:O202"/>
    <mergeCell ref="P199:P202"/>
    <mergeCell ref="Q199:Q202"/>
    <mergeCell ref="R199:S199"/>
    <mergeCell ref="AP199:AP202"/>
    <mergeCell ref="AQ199:AQ202"/>
    <mergeCell ref="AR199:AR202"/>
    <mergeCell ref="R200:S200"/>
    <mergeCell ref="R201:S201"/>
    <mergeCell ref="R202:S202"/>
    <mergeCell ref="B207:B210"/>
    <mergeCell ref="C207:C210"/>
    <mergeCell ref="D207:D210"/>
    <mergeCell ref="E207:E210"/>
    <mergeCell ref="F207:F210"/>
    <mergeCell ref="G207:G210"/>
    <mergeCell ref="H207:H210"/>
    <mergeCell ref="I207:I210"/>
    <mergeCell ref="J207:J210"/>
    <mergeCell ref="AS203:AS206"/>
    <mergeCell ref="AT203:AT206"/>
    <mergeCell ref="AU203:AU206"/>
    <mergeCell ref="AV203:AV206"/>
    <mergeCell ref="AW203:AW206"/>
    <mergeCell ref="AX203:AX206"/>
    <mergeCell ref="AY203:AY206"/>
    <mergeCell ref="AZ203:AZ206"/>
    <mergeCell ref="M203:M206"/>
    <mergeCell ref="N203:N206"/>
    <mergeCell ref="O203:O206"/>
    <mergeCell ref="P203:P206"/>
    <mergeCell ref="Q203:Q206"/>
    <mergeCell ref="R203:S203"/>
    <mergeCell ref="AP203:AP206"/>
    <mergeCell ref="AQ203:AQ206"/>
    <mergeCell ref="AR203:AR206"/>
    <mergeCell ref="R204:S204"/>
    <mergeCell ref="R205:S205"/>
    <mergeCell ref="R206:S206"/>
    <mergeCell ref="B203:B206"/>
    <mergeCell ref="C203:C206"/>
    <mergeCell ref="D203:D206"/>
    <mergeCell ref="I211:I214"/>
    <mergeCell ref="J211:J214"/>
    <mergeCell ref="AS207:AS210"/>
    <mergeCell ref="AT207:AT210"/>
    <mergeCell ref="AU207:AU210"/>
    <mergeCell ref="AV207:AV210"/>
    <mergeCell ref="AW207:AW210"/>
    <mergeCell ref="AX207:AX210"/>
    <mergeCell ref="AY207:AY210"/>
    <mergeCell ref="AZ207:AZ210"/>
    <mergeCell ref="BA207:BA210"/>
    <mergeCell ref="M207:M210"/>
    <mergeCell ref="N207:N210"/>
    <mergeCell ref="O207:O210"/>
    <mergeCell ref="P207:P210"/>
    <mergeCell ref="Q207:Q210"/>
    <mergeCell ref="R207:S207"/>
    <mergeCell ref="AP207:AP210"/>
    <mergeCell ref="AQ207:AQ210"/>
    <mergeCell ref="AR207:AR210"/>
    <mergeCell ref="R208:S208"/>
    <mergeCell ref="R209:S209"/>
    <mergeCell ref="R210:S210"/>
    <mergeCell ref="B236:B239"/>
    <mergeCell ref="C236:C239"/>
    <mergeCell ref="D236:D239"/>
    <mergeCell ref="E236:E239"/>
    <mergeCell ref="F236:F239"/>
    <mergeCell ref="G236:G239"/>
    <mergeCell ref="H236:H239"/>
    <mergeCell ref="I236:I239"/>
    <mergeCell ref="J236:J239"/>
    <mergeCell ref="AS211:AS214"/>
    <mergeCell ref="AT211:AT214"/>
    <mergeCell ref="AU211:AU214"/>
    <mergeCell ref="AV211:AV214"/>
    <mergeCell ref="AW211:AW214"/>
    <mergeCell ref="AX211:AX214"/>
    <mergeCell ref="AY211:AY214"/>
    <mergeCell ref="AZ211:AZ214"/>
    <mergeCell ref="M211:M214"/>
    <mergeCell ref="N211:N214"/>
    <mergeCell ref="O211:O214"/>
    <mergeCell ref="P211:P214"/>
    <mergeCell ref="Q211:Q214"/>
    <mergeCell ref="AP211:AP214"/>
    <mergeCell ref="AQ211:AQ214"/>
    <mergeCell ref="AR211:AR214"/>
    <mergeCell ref="B211:B214"/>
    <mergeCell ref="C211:C214"/>
    <mergeCell ref="D211:D214"/>
    <mergeCell ref="E211:E214"/>
    <mergeCell ref="F211:F214"/>
    <mergeCell ref="G211:G214"/>
    <mergeCell ref="H211:H214"/>
    <mergeCell ref="AS236:AS239"/>
    <mergeCell ref="AT236:AT239"/>
    <mergeCell ref="AU236:AU239"/>
    <mergeCell ref="AV236:AV239"/>
    <mergeCell ref="AW236:AW239"/>
    <mergeCell ref="AX236:AX239"/>
    <mergeCell ref="AY236:AY239"/>
    <mergeCell ref="AZ236:AZ239"/>
    <mergeCell ref="BA236:BA239"/>
    <mergeCell ref="M236:M239"/>
    <mergeCell ref="N236:N239"/>
    <mergeCell ref="O236:O239"/>
    <mergeCell ref="P236:P239"/>
    <mergeCell ref="Q236:Q239"/>
    <mergeCell ref="R236:S236"/>
    <mergeCell ref="AP236:AP239"/>
    <mergeCell ref="AQ236:AQ239"/>
    <mergeCell ref="AR236:AR239"/>
    <mergeCell ref="R237:S237"/>
    <mergeCell ref="R238:S238"/>
    <mergeCell ref="R239:S239"/>
    <mergeCell ref="BF211:BF214"/>
    <mergeCell ref="BG211:BG214"/>
    <mergeCell ref="BH211:BH214"/>
    <mergeCell ref="BI211:BI214"/>
    <mergeCell ref="BJ211:BJ214"/>
    <mergeCell ref="L199:L200"/>
    <mergeCell ref="L203:L204"/>
    <mergeCell ref="K211:K214"/>
    <mergeCell ref="L211:L214"/>
    <mergeCell ref="R211:S214"/>
    <mergeCell ref="BB211:BB214"/>
    <mergeCell ref="BC211:BC214"/>
    <mergeCell ref="BD211:BD214"/>
    <mergeCell ref="BE211:BE214"/>
    <mergeCell ref="K195:K198"/>
    <mergeCell ref="L195:L198"/>
    <mergeCell ref="R195:S198"/>
    <mergeCell ref="T195:T198"/>
    <mergeCell ref="V195:V198"/>
    <mergeCell ref="X195:X198"/>
    <mergeCell ref="Z195:Z198"/>
    <mergeCell ref="AB195:AB198"/>
    <mergeCell ref="AD195:AD198"/>
    <mergeCell ref="BA211:BA214"/>
    <mergeCell ref="BA203:BA206"/>
    <mergeCell ref="AQ195:AQ198"/>
    <mergeCell ref="AR195:AR198"/>
    <mergeCell ref="AF195:AF198"/>
    <mergeCell ref="AH195:AH198"/>
    <mergeCell ref="AI195:AI198"/>
    <mergeCell ref="AJ195:AJ198"/>
    <mergeCell ref="AK195:AK198"/>
  </mergeCells>
  <conditionalFormatting sqref="BF11">
    <cfRule type="containsText" dxfId="1721" priority="2663" operator="containsText" text="RIESGO EXTREMO">
      <formula>NOT(ISERROR(SEARCH("RIESGO EXTREMO",BF11)))</formula>
    </cfRule>
    <cfRule type="containsText" dxfId="1720" priority="2664" operator="containsText" text="RIESGO ALTO">
      <formula>NOT(ISERROR(SEARCH("RIESGO ALTO",BF11)))</formula>
    </cfRule>
    <cfRule type="containsText" dxfId="1719" priority="2665" operator="containsText" text="RIESGO MODERADO">
      <formula>NOT(ISERROR(SEARCH("RIESGO MODERADO",BF11)))</formula>
    </cfRule>
    <cfRule type="containsText" dxfId="1718" priority="2666" operator="containsText" text="RIESGO BAJO">
      <formula>NOT(ISERROR(SEARCH("RIESGO BAJO",BF11)))</formula>
    </cfRule>
  </conditionalFormatting>
  <conditionalFormatting sqref="I51:I52 I85:I86 I91 I148:I151 I160:I166">
    <cfRule type="expression" dxfId="1717" priority="1916">
      <formula>EXACT(F51,"Seguridad_de_la_informacion")</formula>
    </cfRule>
  </conditionalFormatting>
  <conditionalFormatting sqref="J51:J52 J85:J86 J91 J148:J151 J160:J166 J215:J218">
    <cfRule type="expression" dxfId="1716" priority="1915">
      <formula>EXACT(F51,"Seguridad_de_la_informacion")</formula>
    </cfRule>
  </conditionalFormatting>
  <conditionalFormatting sqref="BG43 BH43:BJ44">
    <cfRule type="containsText" dxfId="1715" priority="2025" operator="containsText" text="RIESGO EXTREMO">
      <formula>NOT(ISERROR(SEARCH("RIESGO EXTREMO",BG43)))</formula>
    </cfRule>
    <cfRule type="containsText" dxfId="1714" priority="2026" operator="containsText" text="RIESGO ALTO">
      <formula>NOT(ISERROR(SEARCH("RIESGO ALTO",BG43)))</formula>
    </cfRule>
    <cfRule type="containsText" dxfId="1713" priority="2027" operator="containsText" text="RIESGO MODERADO">
      <formula>NOT(ISERROR(SEARCH("RIESGO MODERADO",BG43)))</formula>
    </cfRule>
    <cfRule type="containsText" dxfId="1712" priority="2028" operator="containsText" text="RIESGO BAJO">
      <formula>NOT(ISERROR(SEARCH("RIESGO BAJO",BG43)))</formula>
    </cfRule>
  </conditionalFormatting>
  <conditionalFormatting sqref="I43:I44">
    <cfRule type="expression" dxfId="1711" priority="2024">
      <formula>EXACT(F43,"Seguridad_de_la_informacion")</formula>
    </cfRule>
  </conditionalFormatting>
  <conditionalFormatting sqref="Q43:Q45 BB44:BB46 BE43:BE46 BC43:BD44 BD45">
    <cfRule type="containsText" dxfId="1710" priority="2033" operator="containsText" text="RIESGO EXTREMO">
      <formula>NOT(ISERROR(SEARCH("RIESGO EXTREMO",Q43)))</formula>
    </cfRule>
    <cfRule type="containsText" dxfId="1709" priority="2034" operator="containsText" text="RIESGO ALTO">
      <formula>NOT(ISERROR(SEARCH("RIESGO ALTO",Q43)))</formula>
    </cfRule>
    <cfRule type="containsText" dxfId="1708" priority="2035" operator="containsText" text="RIESGO MODERADO">
      <formula>NOT(ISERROR(SEARCH("RIESGO MODERADO",Q43)))</formula>
    </cfRule>
    <cfRule type="containsText" dxfId="1707" priority="2036" operator="containsText" text="RIESGO BAJO">
      <formula>NOT(ISERROR(SEARCH("RIESGO BAJO",Q43)))</formula>
    </cfRule>
  </conditionalFormatting>
  <conditionalFormatting sqref="Q11:Q13 BB14 BC11:BC12 BE11:BE14">
    <cfRule type="containsText" dxfId="1706" priority="2294" operator="containsText" text="RIESGO EXTREMO">
      <formula>NOT(ISERROR(SEARCH("RIESGO EXTREMO",Q11)))</formula>
    </cfRule>
    <cfRule type="containsText" dxfId="1705" priority="2295" operator="containsText" text="RIESGO ALTO">
      <formula>NOT(ISERROR(SEARCH("RIESGO ALTO",Q11)))</formula>
    </cfRule>
    <cfRule type="containsText" dxfId="1704" priority="2296" operator="containsText" text="RIESGO MODERADO">
      <formula>NOT(ISERROR(SEARCH("RIESGO MODERADO",Q11)))</formula>
    </cfRule>
    <cfRule type="containsText" dxfId="1703" priority="2297" operator="containsText" text="RIESGO BAJO">
      <formula>NOT(ISERROR(SEARCH("RIESGO BAJO",Q11)))</formula>
    </cfRule>
  </conditionalFormatting>
  <conditionalFormatting sqref="I11:I12">
    <cfRule type="expression" dxfId="1702" priority="2293">
      <formula>EXACT(F11,"Seguridad_de_la_informacion")</formula>
    </cfRule>
  </conditionalFormatting>
  <conditionalFormatting sqref="J11:J14">
    <cfRule type="expression" dxfId="1701" priority="2292">
      <formula>EXACT(F11,"Seguridad_de_la_informacion")</formula>
    </cfRule>
  </conditionalFormatting>
  <conditionalFormatting sqref="AZ11:BA11 AZ12:AZ13">
    <cfRule type="containsText" dxfId="1700" priority="2288" operator="containsText" text="RIESGO EXTREMO">
      <formula>NOT(ISERROR(SEARCH("RIESGO EXTREMO",AZ11)))</formula>
    </cfRule>
    <cfRule type="containsText" dxfId="1699" priority="2289" operator="containsText" text="RIESGO ALTO">
      <formula>NOT(ISERROR(SEARCH("RIESGO ALTO",AZ11)))</formula>
    </cfRule>
    <cfRule type="containsText" dxfId="1698" priority="2290" operator="containsText" text="RIESGO MODERADO">
      <formula>NOT(ISERROR(SEARCH("RIESGO MODERADO",AZ11)))</formula>
    </cfRule>
    <cfRule type="containsText" dxfId="1697" priority="2291" operator="containsText" text="RIESGO BAJO">
      <formula>NOT(ISERROR(SEARCH("RIESGO BAJO",AZ11)))</formula>
    </cfRule>
  </conditionalFormatting>
  <conditionalFormatting sqref="BD12">
    <cfRule type="containsText" dxfId="1696" priority="2284" operator="containsText" text="RIESGO EXTREMO">
      <formula>NOT(ISERROR(SEARCH("RIESGO EXTREMO",BD12)))</formula>
    </cfRule>
    <cfRule type="containsText" dxfId="1695" priority="2285" operator="containsText" text="RIESGO ALTO">
      <formula>NOT(ISERROR(SEARCH("RIESGO ALTO",BD12)))</formula>
    </cfRule>
    <cfRule type="containsText" dxfId="1694" priority="2286" operator="containsText" text="RIESGO MODERADO">
      <formula>NOT(ISERROR(SEARCH("RIESGO MODERADO",BD12)))</formula>
    </cfRule>
    <cfRule type="containsText" dxfId="1693" priority="2287" operator="containsText" text="RIESGO BAJO">
      <formula>NOT(ISERROR(SEARCH("RIESGO BAJO",BD12)))</formula>
    </cfRule>
  </conditionalFormatting>
  <conditionalFormatting sqref="BD11">
    <cfRule type="containsText" dxfId="1692" priority="2280" operator="containsText" text="RIESGO EXTREMO">
      <formula>NOT(ISERROR(SEARCH("RIESGO EXTREMO",BD11)))</formula>
    </cfRule>
    <cfRule type="containsText" dxfId="1691" priority="2281" operator="containsText" text="RIESGO ALTO">
      <formula>NOT(ISERROR(SEARCH("RIESGO ALTO",BD11)))</formula>
    </cfRule>
    <cfRule type="containsText" dxfId="1690" priority="2282" operator="containsText" text="RIESGO MODERADO">
      <formula>NOT(ISERROR(SEARCH("RIESGO MODERADO",BD11)))</formula>
    </cfRule>
    <cfRule type="containsText" dxfId="1689" priority="2283" operator="containsText" text="RIESGO BAJO">
      <formula>NOT(ISERROR(SEARCH("RIESGO BAJO",BD11)))</formula>
    </cfRule>
  </conditionalFormatting>
  <conditionalFormatting sqref="BJ11 BG11:BH11">
    <cfRule type="containsText" dxfId="1688" priority="2276" operator="containsText" text="RIESGO EXTREMO">
      <formula>NOT(ISERROR(SEARCH("RIESGO EXTREMO",BG11)))</formula>
    </cfRule>
    <cfRule type="containsText" dxfId="1687" priority="2277" operator="containsText" text="RIESGO ALTO">
      <formula>NOT(ISERROR(SEARCH("RIESGO ALTO",BG11)))</formula>
    </cfRule>
    <cfRule type="containsText" dxfId="1686" priority="2278" operator="containsText" text="RIESGO MODERADO">
      <formula>NOT(ISERROR(SEARCH("RIESGO MODERADO",BG11)))</formula>
    </cfRule>
    <cfRule type="containsText" dxfId="1685" priority="2279" operator="containsText" text="RIESGO BAJO">
      <formula>NOT(ISERROR(SEARCH("RIESGO BAJO",BG11)))</formula>
    </cfRule>
  </conditionalFormatting>
  <conditionalFormatting sqref="BI11">
    <cfRule type="containsText" dxfId="1684" priority="2272" operator="containsText" text="RIESGO EXTREMO">
      <formula>NOT(ISERROR(SEARCH("RIESGO EXTREMO",BI11)))</formula>
    </cfRule>
    <cfRule type="containsText" dxfId="1683" priority="2273" operator="containsText" text="RIESGO ALTO">
      <formula>NOT(ISERROR(SEARCH("RIESGO ALTO",BI11)))</formula>
    </cfRule>
    <cfRule type="containsText" dxfId="1682" priority="2274" operator="containsText" text="RIESGO MODERADO">
      <formula>NOT(ISERROR(SEARCH("RIESGO MODERADO",BI11)))</formula>
    </cfRule>
    <cfRule type="containsText" dxfId="1681" priority="2275" operator="containsText" text="RIESGO BAJO">
      <formula>NOT(ISERROR(SEARCH("RIESGO BAJO",BI11)))</formula>
    </cfRule>
  </conditionalFormatting>
  <conditionalFormatting sqref="Q15:Q17 BC15:BC16">
    <cfRule type="containsText" dxfId="1680" priority="2268" operator="containsText" text="RIESGO EXTREMO">
      <formula>NOT(ISERROR(SEARCH("RIESGO EXTREMO",Q15)))</formula>
    </cfRule>
    <cfRule type="containsText" dxfId="1679" priority="2269" operator="containsText" text="RIESGO ALTO">
      <formula>NOT(ISERROR(SEARCH("RIESGO ALTO",Q15)))</formula>
    </cfRule>
    <cfRule type="containsText" dxfId="1678" priority="2270" operator="containsText" text="RIESGO MODERADO">
      <formula>NOT(ISERROR(SEARCH("RIESGO MODERADO",Q15)))</formula>
    </cfRule>
    <cfRule type="containsText" dxfId="1677" priority="2271" operator="containsText" text="RIESGO BAJO">
      <formula>NOT(ISERROR(SEARCH("RIESGO BAJO",Q15)))</formula>
    </cfRule>
  </conditionalFormatting>
  <conditionalFormatting sqref="I15:I16">
    <cfRule type="expression" dxfId="1676" priority="2267">
      <formula>EXACT(F15,"Seguridad_de_la_informacion")</formula>
    </cfRule>
  </conditionalFormatting>
  <conditionalFormatting sqref="J15:J18">
    <cfRule type="expression" dxfId="1675" priority="2266">
      <formula>EXACT(F15,"Seguridad_de_la_informacion")</formula>
    </cfRule>
  </conditionalFormatting>
  <conditionalFormatting sqref="AZ15:BA15 AZ16:AZ17">
    <cfRule type="containsText" dxfId="1674" priority="2262" operator="containsText" text="RIESGO EXTREMO">
      <formula>NOT(ISERROR(SEARCH("RIESGO EXTREMO",AZ15)))</formula>
    </cfRule>
    <cfRule type="containsText" dxfId="1673" priority="2263" operator="containsText" text="RIESGO ALTO">
      <formula>NOT(ISERROR(SEARCH("RIESGO ALTO",AZ15)))</formula>
    </cfRule>
    <cfRule type="containsText" dxfId="1672" priority="2264" operator="containsText" text="RIESGO MODERADO">
      <formula>NOT(ISERROR(SEARCH("RIESGO MODERADO",AZ15)))</formula>
    </cfRule>
    <cfRule type="containsText" dxfId="1671" priority="2265" operator="containsText" text="RIESGO BAJO">
      <formula>NOT(ISERROR(SEARCH("RIESGO BAJO",AZ15)))</formula>
    </cfRule>
  </conditionalFormatting>
  <conditionalFormatting sqref="BD18">
    <cfRule type="containsText" dxfId="1670" priority="2258" operator="containsText" text="RIESGO EXTREMO">
      <formula>NOT(ISERROR(SEARCH("RIESGO EXTREMO",BD18)))</formula>
    </cfRule>
    <cfRule type="containsText" dxfId="1669" priority="2259" operator="containsText" text="RIESGO ALTO">
      <formula>NOT(ISERROR(SEARCH("RIESGO ALTO",BD18)))</formula>
    </cfRule>
    <cfRule type="containsText" dxfId="1668" priority="2260" operator="containsText" text="RIESGO MODERADO">
      <formula>NOT(ISERROR(SEARCH("RIESGO MODERADO",BD18)))</formula>
    </cfRule>
    <cfRule type="containsText" dxfId="1667" priority="2261" operator="containsText" text="RIESGO BAJO">
      <formula>NOT(ISERROR(SEARCH("RIESGO BAJO",BD18)))</formula>
    </cfRule>
  </conditionalFormatting>
  <conditionalFormatting sqref="BD15:BD17">
    <cfRule type="containsText" dxfId="1666" priority="2254" operator="containsText" text="RIESGO EXTREMO">
      <formula>NOT(ISERROR(SEARCH("RIESGO EXTREMO",BD15)))</formula>
    </cfRule>
    <cfRule type="containsText" dxfId="1665" priority="2255" operator="containsText" text="RIESGO ALTO">
      <formula>NOT(ISERROR(SEARCH("RIESGO ALTO",BD15)))</formula>
    </cfRule>
    <cfRule type="containsText" dxfId="1664" priority="2256" operator="containsText" text="RIESGO MODERADO">
      <formula>NOT(ISERROR(SEARCH("RIESGO MODERADO",BD15)))</formula>
    </cfRule>
    <cfRule type="containsText" dxfId="1663" priority="2257" operator="containsText" text="RIESGO BAJO">
      <formula>NOT(ISERROR(SEARCH("RIESGO BAJO",BD15)))</formula>
    </cfRule>
  </conditionalFormatting>
  <conditionalFormatting sqref="BE15:BE18">
    <cfRule type="containsText" dxfId="1662" priority="2250" operator="containsText" text="RIESGO EXTREMO">
      <formula>NOT(ISERROR(SEARCH("RIESGO EXTREMO",BE15)))</formula>
    </cfRule>
    <cfRule type="containsText" dxfId="1661" priority="2251" operator="containsText" text="RIESGO ALTO">
      <formula>NOT(ISERROR(SEARCH("RIESGO ALTO",BE15)))</formula>
    </cfRule>
    <cfRule type="containsText" dxfId="1660" priority="2252" operator="containsText" text="RIESGO MODERADO">
      <formula>NOT(ISERROR(SEARCH("RIESGO MODERADO",BE15)))</formula>
    </cfRule>
    <cfRule type="containsText" dxfId="1659" priority="2253" operator="containsText" text="RIESGO BAJO">
      <formula>NOT(ISERROR(SEARCH("RIESGO BAJO",BE15)))</formula>
    </cfRule>
  </conditionalFormatting>
  <conditionalFormatting sqref="BG15">
    <cfRule type="containsText" dxfId="1658" priority="2246" operator="containsText" text="RIESGO EXTREMO">
      <formula>NOT(ISERROR(SEARCH("RIESGO EXTREMO",BG15)))</formula>
    </cfRule>
    <cfRule type="containsText" dxfId="1657" priority="2247" operator="containsText" text="RIESGO ALTO">
      <formula>NOT(ISERROR(SEARCH("RIESGO ALTO",BG15)))</formula>
    </cfRule>
    <cfRule type="containsText" dxfId="1656" priority="2248" operator="containsText" text="RIESGO MODERADO">
      <formula>NOT(ISERROR(SEARCH("RIESGO MODERADO",BG15)))</formula>
    </cfRule>
    <cfRule type="containsText" dxfId="1655" priority="2249" operator="containsText" text="RIESGO BAJO">
      <formula>NOT(ISERROR(SEARCH("RIESGO BAJO",BG15)))</formula>
    </cfRule>
  </conditionalFormatting>
  <conditionalFormatting sqref="BH15:BJ15">
    <cfRule type="containsText" dxfId="1654" priority="2242" operator="containsText" text="RIESGO EXTREMO">
      <formula>NOT(ISERROR(SEARCH("RIESGO EXTREMO",BH15)))</formula>
    </cfRule>
    <cfRule type="containsText" dxfId="1653" priority="2243" operator="containsText" text="RIESGO ALTO">
      <formula>NOT(ISERROR(SEARCH("RIESGO ALTO",BH15)))</formula>
    </cfRule>
    <cfRule type="containsText" dxfId="1652" priority="2244" operator="containsText" text="RIESGO MODERADO">
      <formula>NOT(ISERROR(SEARCH("RIESGO MODERADO",BH15)))</formula>
    </cfRule>
    <cfRule type="containsText" dxfId="1651" priority="2245" operator="containsText" text="RIESGO BAJO">
      <formula>NOT(ISERROR(SEARCH("RIESGO BAJO",BH15)))</formula>
    </cfRule>
  </conditionalFormatting>
  <conditionalFormatting sqref="AZ19:BA19 AZ20:AZ21">
    <cfRule type="containsText" dxfId="1650" priority="2232" operator="containsText" text="RIESGO EXTREMO">
      <formula>NOT(ISERROR(SEARCH("RIESGO EXTREMO",AZ19)))</formula>
    </cfRule>
    <cfRule type="containsText" dxfId="1649" priority="2233" operator="containsText" text="RIESGO ALTO">
      <formula>NOT(ISERROR(SEARCH("RIESGO ALTO",AZ19)))</formula>
    </cfRule>
    <cfRule type="containsText" dxfId="1648" priority="2234" operator="containsText" text="RIESGO MODERADO">
      <formula>NOT(ISERROR(SEARCH("RIESGO MODERADO",AZ19)))</formula>
    </cfRule>
    <cfRule type="containsText" dxfId="1647" priority="2235" operator="containsText" text="RIESGO BAJO">
      <formula>NOT(ISERROR(SEARCH("RIESGO BAJO",AZ19)))</formula>
    </cfRule>
  </conditionalFormatting>
  <conditionalFormatting sqref="Q19:Q21 BE19:BE22 BB19:BB22 BC19:BC20">
    <cfRule type="containsText" dxfId="1646" priority="2238" operator="containsText" text="RIESGO EXTREMO">
      <formula>NOT(ISERROR(SEARCH("RIESGO EXTREMO",Q19)))</formula>
    </cfRule>
    <cfRule type="containsText" dxfId="1645" priority="2239" operator="containsText" text="RIESGO ALTO">
      <formula>NOT(ISERROR(SEARCH("RIESGO ALTO",Q19)))</formula>
    </cfRule>
    <cfRule type="containsText" dxfId="1644" priority="2240" operator="containsText" text="RIESGO MODERADO">
      <formula>NOT(ISERROR(SEARCH("RIESGO MODERADO",Q19)))</formula>
    </cfRule>
    <cfRule type="containsText" dxfId="1643" priority="2241" operator="containsText" text="RIESGO BAJO">
      <formula>NOT(ISERROR(SEARCH("RIESGO BAJO",Q19)))</formula>
    </cfRule>
  </conditionalFormatting>
  <conditionalFormatting sqref="I19:I20">
    <cfRule type="expression" dxfId="1642" priority="2237">
      <formula>EXACT(F19,"Seguridad_de_la_informacion")</formula>
    </cfRule>
  </conditionalFormatting>
  <conditionalFormatting sqref="J19:J22">
    <cfRule type="expression" dxfId="1641" priority="2236">
      <formula>EXACT(F19,"Seguridad_de_la_informacion")</formula>
    </cfRule>
  </conditionalFormatting>
  <conditionalFormatting sqref="BD19:BD20">
    <cfRule type="containsText" dxfId="1640" priority="2228" operator="containsText" text="RIESGO EXTREMO">
      <formula>NOT(ISERROR(SEARCH("RIESGO EXTREMO",BD19)))</formula>
    </cfRule>
    <cfRule type="containsText" dxfId="1639" priority="2229" operator="containsText" text="RIESGO ALTO">
      <formula>NOT(ISERROR(SEARCH("RIESGO ALTO",BD19)))</formula>
    </cfRule>
    <cfRule type="containsText" dxfId="1638" priority="2230" operator="containsText" text="RIESGO MODERADO">
      <formula>NOT(ISERROR(SEARCH("RIESGO MODERADO",BD19)))</formula>
    </cfRule>
    <cfRule type="containsText" dxfId="1637" priority="2231" operator="containsText" text="RIESGO BAJO">
      <formula>NOT(ISERROR(SEARCH("RIESGO BAJO",BD19)))</formula>
    </cfRule>
  </conditionalFormatting>
  <conditionalFormatting sqref="BG19">
    <cfRule type="containsText" dxfId="1636" priority="2224" operator="containsText" text="RIESGO EXTREMO">
      <formula>NOT(ISERROR(SEARCH("RIESGO EXTREMO",BG19)))</formula>
    </cfRule>
    <cfRule type="containsText" dxfId="1635" priority="2225" operator="containsText" text="RIESGO ALTO">
      <formula>NOT(ISERROR(SEARCH("RIESGO ALTO",BG19)))</formula>
    </cfRule>
    <cfRule type="containsText" dxfId="1634" priority="2226" operator="containsText" text="RIESGO MODERADO">
      <formula>NOT(ISERROR(SEARCH("RIESGO MODERADO",BG19)))</formula>
    </cfRule>
    <cfRule type="containsText" dxfId="1633" priority="2227" operator="containsText" text="RIESGO BAJO">
      <formula>NOT(ISERROR(SEARCH("RIESGO BAJO",BG19)))</formula>
    </cfRule>
  </conditionalFormatting>
  <conditionalFormatting sqref="BH19:BJ19">
    <cfRule type="containsText" dxfId="1632" priority="2220" operator="containsText" text="RIESGO EXTREMO">
      <formula>NOT(ISERROR(SEARCH("RIESGO EXTREMO",BH19)))</formula>
    </cfRule>
    <cfRule type="containsText" dxfId="1631" priority="2221" operator="containsText" text="RIESGO ALTO">
      <formula>NOT(ISERROR(SEARCH("RIESGO ALTO",BH19)))</formula>
    </cfRule>
    <cfRule type="containsText" dxfId="1630" priority="2222" operator="containsText" text="RIESGO MODERADO">
      <formula>NOT(ISERROR(SEARCH("RIESGO MODERADO",BH19)))</formula>
    </cfRule>
    <cfRule type="containsText" dxfId="1629" priority="2223" operator="containsText" text="RIESGO BAJO">
      <formula>NOT(ISERROR(SEARCH("RIESGO BAJO",BH19)))</formula>
    </cfRule>
  </conditionalFormatting>
  <conditionalFormatting sqref="Q23:Q25 BB23:BB26 BE23:BE26 BC23:BC24">
    <cfRule type="containsText" dxfId="1628" priority="2216" operator="containsText" text="RIESGO EXTREMO">
      <formula>NOT(ISERROR(SEARCH("RIESGO EXTREMO",Q23)))</formula>
    </cfRule>
    <cfRule type="containsText" dxfId="1627" priority="2217" operator="containsText" text="RIESGO ALTO">
      <formula>NOT(ISERROR(SEARCH("RIESGO ALTO",Q23)))</formula>
    </cfRule>
    <cfRule type="containsText" dxfId="1626" priority="2218" operator="containsText" text="RIESGO MODERADO">
      <formula>NOT(ISERROR(SEARCH("RIESGO MODERADO",Q23)))</formula>
    </cfRule>
    <cfRule type="containsText" dxfId="1625" priority="2219" operator="containsText" text="RIESGO BAJO">
      <formula>NOT(ISERROR(SEARCH("RIESGO BAJO",Q23)))</formula>
    </cfRule>
  </conditionalFormatting>
  <conditionalFormatting sqref="I23:I24">
    <cfRule type="expression" dxfId="1624" priority="2215">
      <formula>EXACT(F23,"Seguridad_de_la_informacion")</formula>
    </cfRule>
  </conditionalFormatting>
  <conditionalFormatting sqref="J23:J26">
    <cfRule type="expression" dxfId="1623" priority="2214">
      <formula>EXACT(F23,"Seguridad_de_la_informacion")</formula>
    </cfRule>
  </conditionalFormatting>
  <conditionalFormatting sqref="AZ23:BA23 AZ24:AZ25">
    <cfRule type="containsText" dxfId="1622" priority="2210" operator="containsText" text="RIESGO EXTREMO">
      <formula>NOT(ISERROR(SEARCH("RIESGO EXTREMO",AZ23)))</formula>
    </cfRule>
    <cfRule type="containsText" dxfId="1621" priority="2211" operator="containsText" text="RIESGO ALTO">
      <formula>NOT(ISERROR(SEARCH("RIESGO ALTO",AZ23)))</formula>
    </cfRule>
    <cfRule type="containsText" dxfId="1620" priority="2212" operator="containsText" text="RIESGO MODERADO">
      <formula>NOT(ISERROR(SEARCH("RIESGO MODERADO",AZ23)))</formula>
    </cfRule>
    <cfRule type="containsText" dxfId="1619" priority="2213" operator="containsText" text="RIESGO BAJO">
      <formula>NOT(ISERROR(SEARCH("RIESGO BAJO",AZ23)))</formula>
    </cfRule>
  </conditionalFormatting>
  <conditionalFormatting sqref="BD23:BD25">
    <cfRule type="containsText" dxfId="1618" priority="2206" operator="containsText" text="RIESGO EXTREMO">
      <formula>NOT(ISERROR(SEARCH("RIESGO EXTREMO",BD23)))</formula>
    </cfRule>
    <cfRule type="containsText" dxfId="1617" priority="2207" operator="containsText" text="RIESGO ALTO">
      <formula>NOT(ISERROR(SEARCH("RIESGO ALTO",BD23)))</formula>
    </cfRule>
    <cfRule type="containsText" dxfId="1616" priority="2208" operator="containsText" text="RIESGO MODERADO">
      <formula>NOT(ISERROR(SEARCH("RIESGO MODERADO",BD23)))</formula>
    </cfRule>
    <cfRule type="containsText" dxfId="1615" priority="2209" operator="containsText" text="RIESGO BAJO">
      <formula>NOT(ISERROR(SEARCH("RIESGO BAJO",BD23)))</formula>
    </cfRule>
  </conditionalFormatting>
  <conditionalFormatting sqref="BG23">
    <cfRule type="containsText" dxfId="1614" priority="2202" operator="containsText" text="RIESGO EXTREMO">
      <formula>NOT(ISERROR(SEARCH("RIESGO EXTREMO",BG23)))</formula>
    </cfRule>
    <cfRule type="containsText" dxfId="1613" priority="2203" operator="containsText" text="RIESGO ALTO">
      <formula>NOT(ISERROR(SEARCH("RIESGO ALTO",BG23)))</formula>
    </cfRule>
    <cfRule type="containsText" dxfId="1612" priority="2204" operator="containsText" text="RIESGO MODERADO">
      <formula>NOT(ISERROR(SEARCH("RIESGO MODERADO",BG23)))</formula>
    </cfRule>
    <cfRule type="containsText" dxfId="1611" priority="2205" operator="containsText" text="RIESGO BAJO">
      <formula>NOT(ISERROR(SEARCH("RIESGO BAJO",BG23)))</formula>
    </cfRule>
  </conditionalFormatting>
  <conditionalFormatting sqref="BH23:BJ23">
    <cfRule type="containsText" dxfId="1610" priority="2198" operator="containsText" text="RIESGO EXTREMO">
      <formula>NOT(ISERROR(SEARCH("RIESGO EXTREMO",BH23)))</formula>
    </cfRule>
    <cfRule type="containsText" dxfId="1609" priority="2199" operator="containsText" text="RIESGO ALTO">
      <formula>NOT(ISERROR(SEARCH("RIESGO ALTO",BH23)))</formula>
    </cfRule>
    <cfRule type="containsText" dxfId="1608" priority="2200" operator="containsText" text="RIESGO MODERADO">
      <formula>NOT(ISERROR(SEARCH("RIESGO MODERADO",BH23)))</formula>
    </cfRule>
    <cfRule type="containsText" dxfId="1607" priority="2201" operator="containsText" text="RIESGO BAJO">
      <formula>NOT(ISERROR(SEARCH("RIESGO BAJO",BH23)))</formula>
    </cfRule>
  </conditionalFormatting>
  <conditionalFormatting sqref="Q27:Q29 BB27:BB30 BE27:BE30 BC27:BD28">
    <cfRule type="containsText" dxfId="1606" priority="2194" operator="containsText" text="RIESGO EXTREMO">
      <formula>NOT(ISERROR(SEARCH("RIESGO EXTREMO",Q27)))</formula>
    </cfRule>
    <cfRule type="containsText" dxfId="1605" priority="2195" operator="containsText" text="RIESGO ALTO">
      <formula>NOT(ISERROR(SEARCH("RIESGO ALTO",Q27)))</formula>
    </cfRule>
    <cfRule type="containsText" dxfId="1604" priority="2196" operator="containsText" text="RIESGO MODERADO">
      <formula>NOT(ISERROR(SEARCH("RIESGO MODERADO",Q27)))</formula>
    </cfRule>
    <cfRule type="containsText" dxfId="1603" priority="2197" operator="containsText" text="RIESGO BAJO">
      <formula>NOT(ISERROR(SEARCH("RIESGO BAJO",Q27)))</formula>
    </cfRule>
  </conditionalFormatting>
  <conditionalFormatting sqref="I27:I28">
    <cfRule type="expression" dxfId="1602" priority="2193">
      <formula>EXACT(F27,"Seguridad_de_la_informacion")</formula>
    </cfRule>
  </conditionalFormatting>
  <conditionalFormatting sqref="J27:J30">
    <cfRule type="expression" dxfId="1601" priority="2192">
      <formula>EXACT(F27,"Seguridad_de_la_informacion")</formula>
    </cfRule>
  </conditionalFormatting>
  <conditionalFormatting sqref="AZ27:BA27 AZ28:AZ29">
    <cfRule type="containsText" dxfId="1600" priority="2188" operator="containsText" text="RIESGO EXTREMO">
      <formula>NOT(ISERROR(SEARCH("RIESGO EXTREMO",AZ27)))</formula>
    </cfRule>
    <cfRule type="containsText" dxfId="1599" priority="2189" operator="containsText" text="RIESGO ALTO">
      <formula>NOT(ISERROR(SEARCH("RIESGO ALTO",AZ27)))</formula>
    </cfRule>
    <cfRule type="containsText" dxfId="1598" priority="2190" operator="containsText" text="RIESGO MODERADO">
      <formula>NOT(ISERROR(SEARCH("RIESGO MODERADO",AZ27)))</formula>
    </cfRule>
    <cfRule type="containsText" dxfId="1597" priority="2191" operator="containsText" text="RIESGO BAJO">
      <formula>NOT(ISERROR(SEARCH("RIESGO BAJO",AZ27)))</formula>
    </cfRule>
  </conditionalFormatting>
  <conditionalFormatting sqref="BH28:BI28 BJ27 BG27:BH27">
    <cfRule type="containsText" dxfId="1596" priority="2184" operator="containsText" text="RIESGO EXTREMO">
      <formula>NOT(ISERROR(SEARCH("RIESGO EXTREMO",BG27)))</formula>
    </cfRule>
    <cfRule type="containsText" dxfId="1595" priority="2185" operator="containsText" text="RIESGO ALTO">
      <formula>NOT(ISERROR(SEARCH("RIESGO ALTO",BG27)))</formula>
    </cfRule>
    <cfRule type="containsText" dxfId="1594" priority="2186" operator="containsText" text="RIESGO MODERADO">
      <formula>NOT(ISERROR(SEARCH("RIESGO MODERADO",BG27)))</formula>
    </cfRule>
    <cfRule type="containsText" dxfId="1593" priority="2187" operator="containsText" text="RIESGO BAJO">
      <formula>NOT(ISERROR(SEARCH("RIESGO BAJO",BG27)))</formula>
    </cfRule>
  </conditionalFormatting>
  <conditionalFormatting sqref="BI27">
    <cfRule type="containsText" dxfId="1592" priority="2180" operator="containsText" text="RIESGO EXTREMO">
      <formula>NOT(ISERROR(SEARCH("RIESGO EXTREMO",BI27)))</formula>
    </cfRule>
    <cfRule type="containsText" dxfId="1591" priority="2181" operator="containsText" text="RIESGO ALTO">
      <formula>NOT(ISERROR(SEARCH("RIESGO ALTO",BI27)))</formula>
    </cfRule>
    <cfRule type="containsText" dxfId="1590" priority="2182" operator="containsText" text="RIESGO MODERADO">
      <formula>NOT(ISERROR(SEARCH("RIESGO MODERADO",BI27)))</formula>
    </cfRule>
    <cfRule type="containsText" dxfId="1589" priority="2183" operator="containsText" text="RIESGO BAJO">
      <formula>NOT(ISERROR(SEARCH("RIESGO BAJO",BI27)))</formula>
    </cfRule>
  </conditionalFormatting>
  <conditionalFormatting sqref="Q31:Q33 BD31">
    <cfRule type="containsText" dxfId="1588" priority="2176" operator="containsText" text="RIESGO EXTREMO">
      <formula>NOT(ISERROR(SEARCH("RIESGO EXTREMO",Q31)))</formula>
    </cfRule>
    <cfRule type="containsText" dxfId="1587" priority="2177" operator="containsText" text="RIESGO ALTO">
      <formula>NOT(ISERROR(SEARCH("RIESGO ALTO",Q31)))</formula>
    </cfRule>
    <cfRule type="containsText" dxfId="1586" priority="2178" operator="containsText" text="RIESGO MODERADO">
      <formula>NOT(ISERROR(SEARCH("RIESGO MODERADO",Q31)))</formula>
    </cfRule>
    <cfRule type="containsText" dxfId="1585" priority="2179" operator="containsText" text="RIESGO BAJO">
      <formula>NOT(ISERROR(SEARCH("RIESGO BAJO",Q31)))</formula>
    </cfRule>
  </conditionalFormatting>
  <conditionalFormatting sqref="I31:I32">
    <cfRule type="expression" dxfId="1584" priority="2175">
      <formula>EXACT(F31,"Seguridad_de_la_informacion")</formula>
    </cfRule>
  </conditionalFormatting>
  <conditionalFormatting sqref="J31:J34">
    <cfRule type="expression" dxfId="1583" priority="2174">
      <formula>EXACT(F31,"Seguridad_de_la_informacion")</formula>
    </cfRule>
  </conditionalFormatting>
  <conditionalFormatting sqref="AZ31:BA31 AZ32:AZ33">
    <cfRule type="containsText" dxfId="1582" priority="2170" operator="containsText" text="RIESGO EXTREMO">
      <formula>NOT(ISERROR(SEARCH("RIESGO EXTREMO",AZ31)))</formula>
    </cfRule>
    <cfRule type="containsText" dxfId="1581" priority="2171" operator="containsText" text="RIESGO ALTO">
      <formula>NOT(ISERROR(SEARCH("RIESGO ALTO",AZ31)))</formula>
    </cfRule>
    <cfRule type="containsText" dxfId="1580" priority="2172" operator="containsText" text="RIESGO MODERADO">
      <formula>NOT(ISERROR(SEARCH("RIESGO MODERADO",AZ31)))</formula>
    </cfRule>
    <cfRule type="containsText" dxfId="1579" priority="2173" operator="containsText" text="RIESGO BAJO">
      <formula>NOT(ISERROR(SEARCH("RIESGO BAJO",AZ31)))</formula>
    </cfRule>
  </conditionalFormatting>
  <conditionalFormatting sqref="BB31">
    <cfRule type="containsText" dxfId="1578" priority="2166" operator="containsText" text="RIESGO EXTREMO">
      <formula>NOT(ISERROR(SEARCH("RIESGO EXTREMO",BB31)))</formula>
    </cfRule>
    <cfRule type="containsText" dxfId="1577" priority="2167" operator="containsText" text="RIESGO ALTO">
      <formula>NOT(ISERROR(SEARCH("RIESGO ALTO",BB31)))</formula>
    </cfRule>
    <cfRule type="containsText" dxfId="1576" priority="2168" operator="containsText" text="RIESGO MODERADO">
      <formula>NOT(ISERROR(SEARCH("RIESGO MODERADO",BB31)))</formula>
    </cfRule>
    <cfRule type="containsText" dxfId="1575" priority="2169" operator="containsText" text="RIESGO BAJO">
      <formula>NOT(ISERROR(SEARCH("RIESGO BAJO",BB31)))</formula>
    </cfRule>
  </conditionalFormatting>
  <conditionalFormatting sqref="BC31">
    <cfRule type="containsText" dxfId="1574" priority="2158" operator="containsText" text="RIESGO EXTREMO">
      <formula>NOT(ISERROR(SEARCH("RIESGO EXTREMO",BC31)))</formula>
    </cfRule>
    <cfRule type="containsText" dxfId="1573" priority="2159" operator="containsText" text="RIESGO ALTO">
      <formula>NOT(ISERROR(SEARCH("RIESGO ALTO",BC31)))</formula>
    </cfRule>
    <cfRule type="containsText" dxfId="1572" priority="2160" operator="containsText" text="RIESGO MODERADO">
      <formula>NOT(ISERROR(SEARCH("RIESGO MODERADO",BC31)))</formula>
    </cfRule>
    <cfRule type="containsText" dxfId="1571" priority="2161" operator="containsText" text="RIESGO BAJO">
      <formula>NOT(ISERROR(SEARCH("RIESGO BAJO",BC31)))</formula>
    </cfRule>
  </conditionalFormatting>
  <conditionalFormatting sqref="BB34">
    <cfRule type="containsText" dxfId="1570" priority="2162" operator="containsText" text="RIESGO EXTREMO">
      <formula>NOT(ISERROR(SEARCH("RIESGO EXTREMO",BB34)))</formula>
    </cfRule>
    <cfRule type="containsText" dxfId="1569" priority="2163" operator="containsText" text="RIESGO ALTO">
      <formula>NOT(ISERROR(SEARCH("RIESGO ALTO",BB34)))</formula>
    </cfRule>
    <cfRule type="containsText" dxfId="1568" priority="2164" operator="containsText" text="RIESGO MODERADO">
      <formula>NOT(ISERROR(SEARCH("RIESGO MODERADO",BB34)))</formula>
    </cfRule>
    <cfRule type="containsText" dxfId="1567" priority="2165" operator="containsText" text="RIESGO BAJO">
      <formula>NOT(ISERROR(SEARCH("RIESGO BAJO",BB34)))</formula>
    </cfRule>
  </conditionalFormatting>
  <conditionalFormatting sqref="BE31">
    <cfRule type="containsText" dxfId="1566" priority="2154" operator="containsText" text="RIESGO EXTREMO">
      <formula>NOT(ISERROR(SEARCH("RIESGO EXTREMO",BE31)))</formula>
    </cfRule>
    <cfRule type="containsText" dxfId="1565" priority="2155" operator="containsText" text="RIESGO ALTO">
      <formula>NOT(ISERROR(SEARCH("RIESGO ALTO",BE31)))</formula>
    </cfRule>
    <cfRule type="containsText" dxfId="1564" priority="2156" operator="containsText" text="RIESGO MODERADO">
      <formula>NOT(ISERROR(SEARCH("RIESGO MODERADO",BE31)))</formula>
    </cfRule>
    <cfRule type="containsText" dxfId="1563" priority="2157" operator="containsText" text="RIESGO BAJO">
      <formula>NOT(ISERROR(SEARCH("RIESGO BAJO",BE31)))</formula>
    </cfRule>
  </conditionalFormatting>
  <conditionalFormatting sqref="BE34">
    <cfRule type="containsText" dxfId="1562" priority="2150" operator="containsText" text="RIESGO EXTREMO">
      <formula>NOT(ISERROR(SEARCH("RIESGO EXTREMO",BE34)))</formula>
    </cfRule>
    <cfRule type="containsText" dxfId="1561" priority="2151" operator="containsText" text="RIESGO ALTO">
      <formula>NOT(ISERROR(SEARCH("RIESGO ALTO",BE34)))</formula>
    </cfRule>
    <cfRule type="containsText" dxfId="1560" priority="2152" operator="containsText" text="RIESGO MODERADO">
      <formula>NOT(ISERROR(SEARCH("RIESGO MODERADO",BE34)))</formula>
    </cfRule>
    <cfRule type="containsText" dxfId="1559" priority="2153" operator="containsText" text="RIESGO BAJO">
      <formula>NOT(ISERROR(SEARCH("RIESGO BAJO",BE34)))</formula>
    </cfRule>
  </conditionalFormatting>
  <conditionalFormatting sqref="BB33">
    <cfRule type="containsText" dxfId="1558" priority="2146" operator="containsText" text="RIESGO EXTREMO">
      <formula>NOT(ISERROR(SEARCH("RIESGO EXTREMO",BB33)))</formula>
    </cfRule>
    <cfRule type="containsText" dxfId="1557" priority="2147" operator="containsText" text="RIESGO ALTO">
      <formula>NOT(ISERROR(SEARCH("RIESGO ALTO",BB33)))</formula>
    </cfRule>
    <cfRule type="containsText" dxfId="1556" priority="2148" operator="containsText" text="RIESGO MODERADO">
      <formula>NOT(ISERROR(SEARCH("RIESGO MODERADO",BB33)))</formula>
    </cfRule>
    <cfRule type="containsText" dxfId="1555" priority="2149" operator="containsText" text="RIESGO BAJO">
      <formula>NOT(ISERROR(SEARCH("RIESGO BAJO",BB33)))</formula>
    </cfRule>
  </conditionalFormatting>
  <conditionalFormatting sqref="BC33">
    <cfRule type="containsText" dxfId="1554" priority="2142" operator="containsText" text="RIESGO EXTREMO">
      <formula>NOT(ISERROR(SEARCH("RIESGO EXTREMO",BC33)))</formula>
    </cfRule>
    <cfRule type="containsText" dxfId="1553" priority="2143" operator="containsText" text="RIESGO ALTO">
      <formula>NOT(ISERROR(SEARCH("RIESGO ALTO",BC33)))</formula>
    </cfRule>
    <cfRule type="containsText" dxfId="1552" priority="2144" operator="containsText" text="RIESGO MODERADO">
      <formula>NOT(ISERROR(SEARCH("RIESGO MODERADO",BC33)))</formula>
    </cfRule>
    <cfRule type="containsText" dxfId="1551" priority="2145" operator="containsText" text="RIESGO BAJO">
      <formula>NOT(ISERROR(SEARCH("RIESGO BAJO",BC33)))</formula>
    </cfRule>
  </conditionalFormatting>
  <conditionalFormatting sqref="BE33">
    <cfRule type="containsText" dxfId="1550" priority="2138" operator="containsText" text="RIESGO EXTREMO">
      <formula>NOT(ISERROR(SEARCH("RIESGO EXTREMO",BE33)))</formula>
    </cfRule>
    <cfRule type="containsText" dxfId="1549" priority="2139" operator="containsText" text="RIESGO ALTO">
      <formula>NOT(ISERROR(SEARCH("RIESGO ALTO",BE33)))</formula>
    </cfRule>
    <cfRule type="containsText" dxfId="1548" priority="2140" operator="containsText" text="RIESGO MODERADO">
      <formula>NOT(ISERROR(SEARCH("RIESGO MODERADO",BE33)))</formula>
    </cfRule>
    <cfRule type="containsText" dxfId="1547" priority="2141" operator="containsText" text="RIESGO BAJO">
      <formula>NOT(ISERROR(SEARCH("RIESGO BAJO",BE33)))</formula>
    </cfRule>
  </conditionalFormatting>
  <conditionalFormatting sqref="BE32">
    <cfRule type="containsText" dxfId="1546" priority="2134" operator="containsText" text="RIESGO EXTREMO">
      <formula>NOT(ISERROR(SEARCH("RIESGO EXTREMO",BE32)))</formula>
    </cfRule>
    <cfRule type="containsText" dxfId="1545" priority="2135" operator="containsText" text="RIESGO ALTO">
      <formula>NOT(ISERROR(SEARCH("RIESGO ALTO",BE32)))</formula>
    </cfRule>
    <cfRule type="containsText" dxfId="1544" priority="2136" operator="containsText" text="RIESGO MODERADO">
      <formula>NOT(ISERROR(SEARCH("RIESGO MODERADO",BE32)))</formula>
    </cfRule>
    <cfRule type="containsText" dxfId="1543" priority="2137" operator="containsText" text="RIESGO BAJO">
      <formula>NOT(ISERROR(SEARCH("RIESGO BAJO",BE32)))</formula>
    </cfRule>
  </conditionalFormatting>
  <conditionalFormatting sqref="BB32">
    <cfRule type="containsText" dxfId="1542" priority="2130" operator="containsText" text="RIESGO EXTREMO">
      <formula>NOT(ISERROR(SEARCH("RIESGO EXTREMO",BB32)))</formula>
    </cfRule>
    <cfRule type="containsText" dxfId="1541" priority="2131" operator="containsText" text="RIESGO ALTO">
      <formula>NOT(ISERROR(SEARCH("RIESGO ALTO",BB32)))</formula>
    </cfRule>
    <cfRule type="containsText" dxfId="1540" priority="2132" operator="containsText" text="RIESGO MODERADO">
      <formula>NOT(ISERROR(SEARCH("RIESGO MODERADO",BB32)))</formula>
    </cfRule>
    <cfRule type="containsText" dxfId="1539" priority="2133" operator="containsText" text="RIESGO BAJO">
      <formula>NOT(ISERROR(SEARCH("RIESGO BAJO",BB32)))</formula>
    </cfRule>
  </conditionalFormatting>
  <conditionalFormatting sqref="BD32:BD34">
    <cfRule type="containsText" dxfId="1538" priority="2126" operator="containsText" text="RIESGO EXTREMO">
      <formula>NOT(ISERROR(SEARCH("RIESGO EXTREMO",BD32)))</formula>
    </cfRule>
    <cfRule type="containsText" dxfId="1537" priority="2127" operator="containsText" text="RIESGO ALTO">
      <formula>NOT(ISERROR(SEARCH("RIESGO ALTO",BD32)))</formula>
    </cfRule>
    <cfRule type="containsText" dxfId="1536" priority="2128" operator="containsText" text="RIESGO MODERADO">
      <formula>NOT(ISERROR(SEARCH("RIESGO MODERADO",BD32)))</formula>
    </cfRule>
    <cfRule type="containsText" dxfId="1535" priority="2129" operator="containsText" text="RIESGO BAJO">
      <formula>NOT(ISERROR(SEARCH("RIESGO BAJO",BD32)))</formula>
    </cfRule>
  </conditionalFormatting>
  <conditionalFormatting sqref="BG32:BJ32">
    <cfRule type="containsText" dxfId="1534" priority="2118" operator="containsText" text="RIESGO EXTREMO">
      <formula>NOT(ISERROR(SEARCH("RIESGO EXTREMO",BG32)))</formula>
    </cfRule>
    <cfRule type="containsText" dxfId="1533" priority="2119" operator="containsText" text="RIESGO ALTO">
      <formula>NOT(ISERROR(SEARCH("RIESGO ALTO",BG32)))</formula>
    </cfRule>
    <cfRule type="containsText" dxfId="1532" priority="2120" operator="containsText" text="RIESGO MODERADO">
      <formula>NOT(ISERROR(SEARCH("RIESGO MODERADO",BG32)))</formula>
    </cfRule>
    <cfRule type="containsText" dxfId="1531" priority="2121" operator="containsText" text="RIESGO BAJO">
      <formula>NOT(ISERROR(SEARCH("RIESGO BAJO",BG32)))</formula>
    </cfRule>
  </conditionalFormatting>
  <conditionalFormatting sqref="BG31:BJ31">
    <cfRule type="containsText" dxfId="1530" priority="2122" operator="containsText" text="RIESGO EXTREMO">
      <formula>NOT(ISERROR(SEARCH("RIESGO EXTREMO",BG31)))</formula>
    </cfRule>
    <cfRule type="containsText" dxfId="1529" priority="2123" operator="containsText" text="RIESGO ALTO">
      <formula>NOT(ISERROR(SEARCH("RIESGO ALTO",BG31)))</formula>
    </cfRule>
    <cfRule type="containsText" dxfId="1528" priority="2124" operator="containsText" text="RIESGO MODERADO">
      <formula>NOT(ISERROR(SEARCH("RIESGO MODERADO",BG31)))</formula>
    </cfRule>
    <cfRule type="containsText" dxfId="1527" priority="2125" operator="containsText" text="RIESGO BAJO">
      <formula>NOT(ISERROR(SEARCH("RIESGO BAJO",BG31)))</formula>
    </cfRule>
  </conditionalFormatting>
  <conditionalFormatting sqref="BJ33">
    <cfRule type="containsText" dxfId="1526" priority="2114" operator="containsText" text="RIESGO EXTREMO">
      <formula>NOT(ISERROR(SEARCH("RIESGO EXTREMO",BJ33)))</formula>
    </cfRule>
    <cfRule type="containsText" dxfId="1525" priority="2115" operator="containsText" text="RIESGO ALTO">
      <formula>NOT(ISERROR(SEARCH("RIESGO ALTO",BJ33)))</formula>
    </cfRule>
    <cfRule type="containsText" dxfId="1524" priority="2116" operator="containsText" text="RIESGO MODERADO">
      <formula>NOT(ISERROR(SEARCH("RIESGO MODERADO",BJ33)))</formula>
    </cfRule>
    <cfRule type="containsText" dxfId="1523" priority="2117" operator="containsText" text="RIESGO BAJO">
      <formula>NOT(ISERROR(SEARCH("RIESGO BAJO",BJ33)))</formula>
    </cfRule>
  </conditionalFormatting>
  <conditionalFormatting sqref="BG33">
    <cfRule type="containsText" dxfId="1522" priority="2110" operator="containsText" text="RIESGO EXTREMO">
      <formula>NOT(ISERROR(SEARCH("RIESGO EXTREMO",BG33)))</formula>
    </cfRule>
    <cfRule type="containsText" dxfId="1521" priority="2111" operator="containsText" text="RIESGO ALTO">
      <formula>NOT(ISERROR(SEARCH("RIESGO ALTO",BG33)))</formula>
    </cfRule>
    <cfRule type="containsText" dxfId="1520" priority="2112" operator="containsText" text="RIESGO MODERADO">
      <formula>NOT(ISERROR(SEARCH("RIESGO MODERADO",BG33)))</formula>
    </cfRule>
    <cfRule type="containsText" dxfId="1519" priority="2113" operator="containsText" text="RIESGO BAJO">
      <formula>NOT(ISERROR(SEARCH("RIESGO BAJO",BG33)))</formula>
    </cfRule>
  </conditionalFormatting>
  <conditionalFormatting sqref="BI33">
    <cfRule type="containsText" dxfId="1518" priority="2106" operator="containsText" text="RIESGO EXTREMO">
      <formula>NOT(ISERROR(SEARCH("RIESGO EXTREMO",BI33)))</formula>
    </cfRule>
    <cfRule type="containsText" dxfId="1517" priority="2107" operator="containsText" text="RIESGO ALTO">
      <formula>NOT(ISERROR(SEARCH("RIESGO ALTO",BI33)))</formula>
    </cfRule>
    <cfRule type="containsText" dxfId="1516" priority="2108" operator="containsText" text="RIESGO MODERADO">
      <formula>NOT(ISERROR(SEARCH("RIESGO MODERADO",BI33)))</formula>
    </cfRule>
    <cfRule type="containsText" dxfId="1515" priority="2109" operator="containsText" text="RIESGO BAJO">
      <formula>NOT(ISERROR(SEARCH("RIESGO BAJO",BI33)))</formula>
    </cfRule>
  </conditionalFormatting>
  <conditionalFormatting sqref="Q35:Q37 BE38">
    <cfRule type="containsText" dxfId="1514" priority="2102" operator="containsText" text="RIESGO EXTREMO">
      <formula>NOT(ISERROR(SEARCH("RIESGO EXTREMO",Q35)))</formula>
    </cfRule>
    <cfRule type="containsText" dxfId="1513" priority="2103" operator="containsText" text="RIESGO ALTO">
      <formula>NOT(ISERROR(SEARCH("RIESGO ALTO",Q35)))</formula>
    </cfRule>
    <cfRule type="containsText" dxfId="1512" priority="2104" operator="containsText" text="RIESGO MODERADO">
      <formula>NOT(ISERROR(SEARCH("RIESGO MODERADO",Q35)))</formula>
    </cfRule>
    <cfRule type="containsText" dxfId="1511" priority="2105" operator="containsText" text="RIESGO BAJO">
      <formula>NOT(ISERROR(SEARCH("RIESGO BAJO",Q35)))</formula>
    </cfRule>
  </conditionalFormatting>
  <conditionalFormatting sqref="AZ35:BA35 AZ36:AZ37">
    <cfRule type="containsText" dxfId="1510" priority="2098" operator="containsText" text="RIESGO EXTREMO">
      <formula>NOT(ISERROR(SEARCH("RIESGO EXTREMO",AZ35)))</formula>
    </cfRule>
    <cfRule type="containsText" dxfId="1509" priority="2099" operator="containsText" text="RIESGO ALTO">
      <formula>NOT(ISERROR(SEARCH("RIESGO ALTO",AZ35)))</formula>
    </cfRule>
    <cfRule type="containsText" dxfId="1508" priority="2100" operator="containsText" text="RIESGO MODERADO">
      <formula>NOT(ISERROR(SEARCH("RIESGO MODERADO",AZ35)))</formula>
    </cfRule>
    <cfRule type="containsText" dxfId="1507" priority="2101" operator="containsText" text="RIESGO BAJO">
      <formula>NOT(ISERROR(SEARCH("RIESGO BAJO",AZ35)))</formula>
    </cfRule>
  </conditionalFormatting>
  <conditionalFormatting sqref="I35:I36">
    <cfRule type="expression" dxfId="1506" priority="2097">
      <formula>EXACT(F35,"Seguridad_de_la_informacion")</formula>
    </cfRule>
  </conditionalFormatting>
  <conditionalFormatting sqref="J35:J38">
    <cfRule type="expression" dxfId="1505" priority="2096">
      <formula>EXACT(F35,"Seguridad_de_la_informacion")</formula>
    </cfRule>
  </conditionalFormatting>
  <conditionalFormatting sqref="BB35:BB38">
    <cfRule type="containsText" dxfId="1504" priority="2092" operator="containsText" text="RIESGO EXTREMO">
      <formula>NOT(ISERROR(SEARCH("RIESGO EXTREMO",BB35)))</formula>
    </cfRule>
    <cfRule type="containsText" dxfId="1503" priority="2093" operator="containsText" text="RIESGO ALTO">
      <formula>NOT(ISERROR(SEARCH("RIESGO ALTO",BB35)))</formula>
    </cfRule>
    <cfRule type="containsText" dxfId="1502" priority="2094" operator="containsText" text="RIESGO MODERADO">
      <formula>NOT(ISERROR(SEARCH("RIESGO MODERADO",BB35)))</formula>
    </cfRule>
    <cfRule type="containsText" dxfId="1501" priority="2095" operator="containsText" text="RIESGO BAJO">
      <formula>NOT(ISERROR(SEARCH("RIESGO BAJO",BB35)))</formula>
    </cfRule>
  </conditionalFormatting>
  <conditionalFormatting sqref="BC35:BC36">
    <cfRule type="containsText" dxfId="1500" priority="2088" operator="containsText" text="RIESGO EXTREMO">
      <formula>NOT(ISERROR(SEARCH("RIESGO EXTREMO",BC35)))</formula>
    </cfRule>
    <cfRule type="containsText" dxfId="1499" priority="2089" operator="containsText" text="RIESGO ALTO">
      <formula>NOT(ISERROR(SEARCH("RIESGO ALTO",BC35)))</formula>
    </cfRule>
    <cfRule type="containsText" dxfId="1498" priority="2090" operator="containsText" text="RIESGO MODERADO">
      <formula>NOT(ISERROR(SEARCH("RIESGO MODERADO",BC35)))</formula>
    </cfRule>
    <cfRule type="containsText" dxfId="1497" priority="2091" operator="containsText" text="RIESGO BAJO">
      <formula>NOT(ISERROR(SEARCH("RIESGO BAJO",BC35)))</formula>
    </cfRule>
  </conditionalFormatting>
  <conditionalFormatting sqref="BD37">
    <cfRule type="containsText" dxfId="1496" priority="2084" operator="containsText" text="RIESGO EXTREMO">
      <formula>NOT(ISERROR(SEARCH("RIESGO EXTREMO",BD37)))</formula>
    </cfRule>
    <cfRule type="containsText" dxfId="1495" priority="2085" operator="containsText" text="RIESGO ALTO">
      <formula>NOT(ISERROR(SEARCH("RIESGO ALTO",BD37)))</formula>
    </cfRule>
    <cfRule type="containsText" dxfId="1494" priority="2086" operator="containsText" text="RIESGO MODERADO">
      <formula>NOT(ISERROR(SEARCH("RIESGO MODERADO",BD37)))</formula>
    </cfRule>
    <cfRule type="containsText" dxfId="1493" priority="2087" operator="containsText" text="RIESGO BAJO">
      <formula>NOT(ISERROR(SEARCH("RIESGO BAJO",BD37)))</formula>
    </cfRule>
  </conditionalFormatting>
  <conditionalFormatting sqref="BE35:BE37">
    <cfRule type="containsText" dxfId="1492" priority="2080" operator="containsText" text="RIESGO EXTREMO">
      <formula>NOT(ISERROR(SEARCH("RIESGO EXTREMO",BE35)))</formula>
    </cfRule>
    <cfRule type="containsText" dxfId="1491" priority="2081" operator="containsText" text="RIESGO ALTO">
      <formula>NOT(ISERROR(SEARCH("RIESGO ALTO",BE35)))</formula>
    </cfRule>
    <cfRule type="containsText" dxfId="1490" priority="2082" operator="containsText" text="RIESGO MODERADO">
      <formula>NOT(ISERROR(SEARCH("RIESGO MODERADO",BE35)))</formula>
    </cfRule>
    <cfRule type="containsText" dxfId="1489" priority="2083" operator="containsText" text="RIESGO BAJO">
      <formula>NOT(ISERROR(SEARCH("RIESGO BAJO",BE35)))</formula>
    </cfRule>
  </conditionalFormatting>
  <conditionalFormatting sqref="BH36:BI36 BG35 BJ35">
    <cfRule type="containsText" dxfId="1488" priority="2076" operator="containsText" text="RIESGO EXTREMO">
      <formula>NOT(ISERROR(SEARCH("RIESGO EXTREMO",BG35)))</formula>
    </cfRule>
    <cfRule type="containsText" dxfId="1487" priority="2077" operator="containsText" text="RIESGO ALTO">
      <formula>NOT(ISERROR(SEARCH("RIESGO ALTO",BG35)))</formula>
    </cfRule>
    <cfRule type="containsText" dxfId="1486" priority="2078" operator="containsText" text="RIESGO MODERADO">
      <formula>NOT(ISERROR(SEARCH("RIESGO MODERADO",BG35)))</formula>
    </cfRule>
    <cfRule type="containsText" dxfId="1485" priority="2079" operator="containsText" text="RIESGO BAJO">
      <formula>NOT(ISERROR(SEARCH("RIESGO BAJO",BG35)))</formula>
    </cfRule>
  </conditionalFormatting>
  <conditionalFormatting sqref="BH35">
    <cfRule type="containsText" dxfId="1484" priority="2072" operator="containsText" text="RIESGO EXTREMO">
      <formula>NOT(ISERROR(SEARCH("RIESGO EXTREMO",BH35)))</formula>
    </cfRule>
    <cfRule type="containsText" dxfId="1483" priority="2073" operator="containsText" text="RIESGO ALTO">
      <formula>NOT(ISERROR(SEARCH("RIESGO ALTO",BH35)))</formula>
    </cfRule>
    <cfRule type="containsText" dxfId="1482" priority="2074" operator="containsText" text="RIESGO MODERADO">
      <formula>NOT(ISERROR(SEARCH("RIESGO MODERADO",BH35)))</formula>
    </cfRule>
    <cfRule type="containsText" dxfId="1481" priority="2075" operator="containsText" text="RIESGO BAJO">
      <formula>NOT(ISERROR(SEARCH("RIESGO BAJO",BH35)))</formula>
    </cfRule>
  </conditionalFormatting>
  <conditionalFormatting sqref="BD35:BD36">
    <cfRule type="containsText" dxfId="1480" priority="2068" operator="containsText" text="RIESGO EXTREMO">
      <formula>NOT(ISERROR(SEARCH("RIESGO EXTREMO",BD35)))</formula>
    </cfRule>
    <cfRule type="containsText" dxfId="1479" priority="2069" operator="containsText" text="RIESGO ALTO">
      <formula>NOT(ISERROR(SEARCH("RIESGO ALTO",BD35)))</formula>
    </cfRule>
    <cfRule type="containsText" dxfId="1478" priority="2070" operator="containsText" text="RIESGO MODERADO">
      <formula>NOT(ISERROR(SEARCH("RIESGO MODERADO",BD35)))</formula>
    </cfRule>
    <cfRule type="containsText" dxfId="1477" priority="2071" operator="containsText" text="RIESGO BAJO">
      <formula>NOT(ISERROR(SEARCH("RIESGO BAJO",BD35)))</formula>
    </cfRule>
  </conditionalFormatting>
  <conditionalFormatting sqref="BI35">
    <cfRule type="containsText" dxfId="1476" priority="2064" operator="containsText" text="RIESGO EXTREMO">
      <formula>NOT(ISERROR(SEARCH("RIESGO EXTREMO",BI35)))</formula>
    </cfRule>
    <cfRule type="containsText" dxfId="1475" priority="2065" operator="containsText" text="RIESGO ALTO">
      <formula>NOT(ISERROR(SEARCH("RIESGO ALTO",BI35)))</formula>
    </cfRule>
    <cfRule type="containsText" dxfId="1474" priority="2066" operator="containsText" text="RIESGO MODERADO">
      <formula>NOT(ISERROR(SEARCH("RIESGO MODERADO",BI35)))</formula>
    </cfRule>
    <cfRule type="containsText" dxfId="1473" priority="2067" operator="containsText" text="RIESGO BAJO">
      <formula>NOT(ISERROR(SEARCH("RIESGO BAJO",BI35)))</formula>
    </cfRule>
  </conditionalFormatting>
  <conditionalFormatting sqref="Q39:Q41 BC40 BB40:BB42 BE40:BE42">
    <cfRule type="containsText" dxfId="1472" priority="2060" operator="containsText" text="RIESGO EXTREMO">
      <formula>NOT(ISERROR(SEARCH("RIESGO EXTREMO",Q39)))</formula>
    </cfRule>
    <cfRule type="containsText" dxfId="1471" priority="2061" operator="containsText" text="RIESGO ALTO">
      <formula>NOT(ISERROR(SEARCH("RIESGO ALTO",Q39)))</formula>
    </cfRule>
    <cfRule type="containsText" dxfId="1470" priority="2062" operator="containsText" text="RIESGO MODERADO">
      <formula>NOT(ISERROR(SEARCH("RIESGO MODERADO",Q39)))</formula>
    </cfRule>
    <cfRule type="containsText" dxfId="1469" priority="2063" operator="containsText" text="RIESGO BAJO">
      <formula>NOT(ISERROR(SEARCH("RIESGO BAJO",Q39)))</formula>
    </cfRule>
  </conditionalFormatting>
  <conditionalFormatting sqref="AZ39:BA39 AZ40:AZ41">
    <cfRule type="containsText" dxfId="1468" priority="2056" operator="containsText" text="RIESGO EXTREMO">
      <formula>NOT(ISERROR(SEARCH("RIESGO EXTREMO",AZ39)))</formula>
    </cfRule>
    <cfRule type="containsText" dxfId="1467" priority="2057" operator="containsText" text="RIESGO ALTO">
      <formula>NOT(ISERROR(SEARCH("RIESGO ALTO",AZ39)))</formula>
    </cfRule>
    <cfRule type="containsText" dxfId="1466" priority="2058" operator="containsText" text="RIESGO MODERADO">
      <formula>NOT(ISERROR(SEARCH("RIESGO MODERADO",AZ39)))</formula>
    </cfRule>
    <cfRule type="containsText" dxfId="1465" priority="2059" operator="containsText" text="RIESGO BAJO">
      <formula>NOT(ISERROR(SEARCH("RIESGO BAJO",AZ39)))</formula>
    </cfRule>
  </conditionalFormatting>
  <conditionalFormatting sqref="BH40:BI40">
    <cfRule type="containsText" dxfId="1464" priority="2052" operator="containsText" text="RIESGO EXTREMO">
      <formula>NOT(ISERROR(SEARCH("RIESGO EXTREMO",BH40)))</formula>
    </cfRule>
    <cfRule type="containsText" dxfId="1463" priority="2053" operator="containsText" text="RIESGO ALTO">
      <formula>NOT(ISERROR(SEARCH("RIESGO ALTO",BH40)))</formula>
    </cfRule>
    <cfRule type="containsText" dxfId="1462" priority="2054" operator="containsText" text="RIESGO MODERADO">
      <formula>NOT(ISERROR(SEARCH("RIESGO MODERADO",BH40)))</formula>
    </cfRule>
    <cfRule type="containsText" dxfId="1461" priority="2055" operator="containsText" text="RIESGO BAJO">
      <formula>NOT(ISERROR(SEARCH("RIESGO BAJO",BH40)))</formula>
    </cfRule>
  </conditionalFormatting>
  <conditionalFormatting sqref="I39:I40">
    <cfRule type="expression" dxfId="1460" priority="2051">
      <formula>EXACT(F39,"Seguridad_de_la_informacion")</formula>
    </cfRule>
  </conditionalFormatting>
  <conditionalFormatting sqref="J39:J42">
    <cfRule type="expression" dxfId="1459" priority="2050">
      <formula>EXACT(F39,"Seguridad_de_la_informacion")</formula>
    </cfRule>
  </conditionalFormatting>
  <conditionalFormatting sqref="BB39">
    <cfRule type="containsText" dxfId="1458" priority="2046" operator="containsText" text="RIESGO EXTREMO">
      <formula>NOT(ISERROR(SEARCH("RIESGO EXTREMO",BB39)))</formula>
    </cfRule>
    <cfRule type="containsText" dxfId="1457" priority="2047" operator="containsText" text="RIESGO ALTO">
      <formula>NOT(ISERROR(SEARCH("RIESGO ALTO",BB39)))</formula>
    </cfRule>
    <cfRule type="containsText" dxfId="1456" priority="2048" operator="containsText" text="RIESGO MODERADO">
      <formula>NOT(ISERROR(SEARCH("RIESGO MODERADO",BB39)))</formula>
    </cfRule>
    <cfRule type="containsText" dxfId="1455" priority="2049" operator="containsText" text="RIESGO BAJO">
      <formula>NOT(ISERROR(SEARCH("RIESGO BAJO",BB39)))</formula>
    </cfRule>
  </conditionalFormatting>
  <conditionalFormatting sqref="BE39">
    <cfRule type="containsText" dxfId="1454" priority="2042" operator="containsText" text="RIESGO EXTREMO">
      <formula>NOT(ISERROR(SEARCH("RIESGO EXTREMO",BE39)))</formula>
    </cfRule>
    <cfRule type="containsText" dxfId="1453" priority="2043" operator="containsText" text="RIESGO ALTO">
      <formula>NOT(ISERROR(SEARCH("RIESGO ALTO",BE39)))</formula>
    </cfRule>
    <cfRule type="containsText" dxfId="1452" priority="2044" operator="containsText" text="RIESGO MODERADO">
      <formula>NOT(ISERROR(SEARCH("RIESGO MODERADO",BE39)))</formula>
    </cfRule>
    <cfRule type="containsText" dxfId="1451" priority="2045" operator="containsText" text="RIESGO BAJO">
      <formula>NOT(ISERROR(SEARCH("RIESGO BAJO",BE39)))</formula>
    </cfRule>
  </conditionalFormatting>
  <conditionalFormatting sqref="BD39:BD40">
    <cfRule type="containsText" dxfId="1450" priority="2038" operator="containsText" text="RIESGO EXTREMO">
      <formula>NOT(ISERROR(SEARCH("RIESGO EXTREMO",BD39)))</formula>
    </cfRule>
    <cfRule type="containsText" dxfId="1449" priority="2039" operator="containsText" text="RIESGO ALTO">
      <formula>NOT(ISERROR(SEARCH("RIESGO ALTO",BD39)))</formula>
    </cfRule>
    <cfRule type="containsText" dxfId="1448" priority="2040" operator="containsText" text="RIESGO MODERADO">
      <formula>NOT(ISERROR(SEARCH("RIESGO MODERADO",BD39)))</formula>
    </cfRule>
    <cfRule type="containsText" dxfId="1447" priority="2041" operator="containsText" text="RIESGO BAJO">
      <formula>NOT(ISERROR(SEARCH("RIESGO BAJO",BD39)))</formula>
    </cfRule>
  </conditionalFormatting>
  <conditionalFormatting sqref="J43:J46">
    <cfRule type="expression" dxfId="1446" priority="2037">
      <formula>EXACT(F43,"Seguridad_de_la_informacion")</formula>
    </cfRule>
  </conditionalFormatting>
  <conditionalFormatting sqref="AZ43:BA43 AZ44:AZ45">
    <cfRule type="containsText" dxfId="1445" priority="2029" operator="containsText" text="RIESGO EXTREMO">
      <formula>NOT(ISERROR(SEARCH("RIESGO EXTREMO",AZ43)))</formula>
    </cfRule>
    <cfRule type="containsText" dxfId="1444" priority="2030" operator="containsText" text="RIESGO ALTO">
      <formula>NOT(ISERROR(SEARCH("RIESGO ALTO",AZ43)))</formula>
    </cfRule>
    <cfRule type="containsText" dxfId="1443" priority="2031" operator="containsText" text="RIESGO MODERADO">
      <formula>NOT(ISERROR(SEARCH("RIESGO MODERADO",AZ43)))</formula>
    </cfRule>
    <cfRule type="containsText" dxfId="1442" priority="2032" operator="containsText" text="RIESGO BAJO">
      <formula>NOT(ISERROR(SEARCH("RIESGO BAJO",AZ43)))</formula>
    </cfRule>
  </conditionalFormatting>
  <conditionalFormatting sqref="Q61:Q63 BB64 BE64">
    <cfRule type="containsText" dxfId="1441" priority="1978" operator="containsText" text="RIESGO EXTREMO">
      <formula>NOT(ISERROR(SEARCH("RIESGO EXTREMO",Q61)))</formula>
    </cfRule>
    <cfRule type="containsText" dxfId="1440" priority="1979" operator="containsText" text="RIESGO ALTO">
      <formula>NOT(ISERROR(SEARCH("RIESGO ALTO",Q61)))</formula>
    </cfRule>
    <cfRule type="containsText" dxfId="1439" priority="1980" operator="containsText" text="RIESGO MODERADO">
      <formula>NOT(ISERROR(SEARCH("RIESGO MODERADO",Q61)))</formula>
    </cfRule>
    <cfRule type="containsText" dxfId="1438" priority="1981" operator="containsText" text="RIESGO BAJO">
      <formula>NOT(ISERROR(SEARCH("RIESGO BAJO",Q61)))</formula>
    </cfRule>
  </conditionalFormatting>
  <conditionalFormatting sqref="I61:I62">
    <cfRule type="expression" dxfId="1437" priority="1977">
      <formula>EXACT(F61,"Seguridad_de_la_informacion")</formula>
    </cfRule>
  </conditionalFormatting>
  <conditionalFormatting sqref="J61:J64">
    <cfRule type="expression" dxfId="1436" priority="1976">
      <formula>EXACT(F61,"Seguridad_de_la_informacion")</formula>
    </cfRule>
  </conditionalFormatting>
  <conditionalFormatting sqref="AZ61:BA61 AZ62:AZ63">
    <cfRule type="containsText" dxfId="1435" priority="1972" operator="containsText" text="RIESGO EXTREMO">
      <formula>NOT(ISERROR(SEARCH("RIESGO EXTREMO",AZ61)))</formula>
    </cfRule>
    <cfRule type="containsText" dxfId="1434" priority="1973" operator="containsText" text="RIESGO ALTO">
      <formula>NOT(ISERROR(SEARCH("RIESGO ALTO",AZ61)))</formula>
    </cfRule>
    <cfRule type="containsText" dxfId="1433" priority="1974" operator="containsText" text="RIESGO MODERADO">
      <formula>NOT(ISERROR(SEARCH("RIESGO MODERADO",AZ61)))</formula>
    </cfRule>
    <cfRule type="containsText" dxfId="1432" priority="1975" operator="containsText" text="RIESGO BAJO">
      <formula>NOT(ISERROR(SEARCH("RIESGO BAJO",AZ61)))</formula>
    </cfRule>
  </conditionalFormatting>
  <conditionalFormatting sqref="Q65:Q67 BB67:BB68 BE67:BE68">
    <cfRule type="containsText" dxfId="1431" priority="1964" operator="containsText" text="RIESGO EXTREMO">
      <formula>NOT(ISERROR(SEARCH("RIESGO EXTREMO",Q65)))</formula>
    </cfRule>
    <cfRule type="containsText" dxfId="1430" priority="1965" operator="containsText" text="RIESGO ALTO">
      <formula>NOT(ISERROR(SEARCH("RIESGO ALTO",Q65)))</formula>
    </cfRule>
    <cfRule type="containsText" dxfId="1429" priority="1966" operator="containsText" text="RIESGO MODERADO">
      <formula>NOT(ISERROR(SEARCH("RIESGO MODERADO",Q65)))</formula>
    </cfRule>
    <cfRule type="containsText" dxfId="1428" priority="1967" operator="containsText" text="RIESGO BAJO">
      <formula>NOT(ISERROR(SEARCH("RIESGO BAJO",Q65)))</formula>
    </cfRule>
  </conditionalFormatting>
  <conditionalFormatting sqref="I65:I66">
    <cfRule type="expression" dxfId="1427" priority="1963">
      <formula>EXACT(F65,"Seguridad_de_la_informacion")</formula>
    </cfRule>
  </conditionalFormatting>
  <conditionalFormatting sqref="J65:J68">
    <cfRule type="expression" dxfId="1426" priority="1962">
      <formula>EXACT(F65,"Seguridad_de_la_informacion")</formula>
    </cfRule>
  </conditionalFormatting>
  <conditionalFormatting sqref="AZ65:BA65 AZ66:AZ67">
    <cfRule type="containsText" dxfId="1425" priority="1958" operator="containsText" text="RIESGO EXTREMO">
      <formula>NOT(ISERROR(SEARCH("RIESGO EXTREMO",AZ65)))</formula>
    </cfRule>
    <cfRule type="containsText" dxfId="1424" priority="1959" operator="containsText" text="RIESGO ALTO">
      <formula>NOT(ISERROR(SEARCH("RIESGO ALTO",AZ65)))</formula>
    </cfRule>
    <cfRule type="containsText" dxfId="1423" priority="1960" operator="containsText" text="RIESGO MODERADO">
      <formula>NOT(ISERROR(SEARCH("RIESGO MODERADO",AZ65)))</formula>
    </cfRule>
    <cfRule type="containsText" dxfId="1422" priority="1961" operator="containsText" text="RIESGO BAJO">
      <formula>NOT(ISERROR(SEARCH("RIESGO BAJO",AZ65)))</formula>
    </cfRule>
  </conditionalFormatting>
  <conditionalFormatting sqref="I69:I70">
    <cfRule type="expression" dxfId="1421" priority="1949">
      <formula>EXACT(F69,"Seguridad_de_la_informacion")</formula>
    </cfRule>
  </conditionalFormatting>
  <conditionalFormatting sqref="BH69:BI70 BG69 BJ69">
    <cfRule type="containsText" dxfId="1420" priority="1940" operator="containsText" text="RIESGO EXTREMO">
      <formula>NOT(ISERROR(SEARCH("RIESGO EXTREMO",BG69)))</formula>
    </cfRule>
    <cfRule type="containsText" dxfId="1419" priority="1941" operator="containsText" text="RIESGO ALTO">
      <formula>NOT(ISERROR(SEARCH("RIESGO ALTO",BG69)))</formula>
    </cfRule>
    <cfRule type="containsText" dxfId="1418" priority="1942" operator="containsText" text="RIESGO MODERADO">
      <formula>NOT(ISERROR(SEARCH("RIESGO MODERADO",BG69)))</formula>
    </cfRule>
    <cfRule type="containsText" dxfId="1417" priority="1943" operator="containsText" text="RIESGO BAJO">
      <formula>NOT(ISERROR(SEARCH("RIESGO BAJO",BG69)))</formula>
    </cfRule>
  </conditionalFormatting>
  <conditionalFormatting sqref="I73:I74">
    <cfRule type="expression" dxfId="1416" priority="1935">
      <formula>EXACT(F73,"Seguridad_de_la_informacion")</formula>
    </cfRule>
  </conditionalFormatting>
  <conditionalFormatting sqref="BA73">
    <cfRule type="containsText" dxfId="1415" priority="1930" operator="containsText" text="RIESGO EXTREMO">
      <formula>NOT(ISERROR(SEARCH("RIESGO EXTREMO",BA73)))</formula>
    </cfRule>
    <cfRule type="containsText" dxfId="1414" priority="1931" operator="containsText" text="RIESGO ALTO">
      <formula>NOT(ISERROR(SEARCH("RIESGO ALTO",BA73)))</formula>
    </cfRule>
    <cfRule type="containsText" dxfId="1413" priority="1932" operator="containsText" text="RIESGO MODERADO">
      <formula>NOT(ISERROR(SEARCH("RIESGO MODERADO",BA73)))</formula>
    </cfRule>
    <cfRule type="containsText" dxfId="1412" priority="1933" operator="containsText" text="RIESGO BAJO">
      <formula>NOT(ISERROR(SEARCH("RIESGO BAJO",BA73)))</formula>
    </cfRule>
  </conditionalFormatting>
  <conditionalFormatting sqref="Q77:Q79 BB80 BE80">
    <cfRule type="containsText" dxfId="1411" priority="1922" operator="containsText" text="RIESGO EXTREMO">
      <formula>NOT(ISERROR(SEARCH("RIESGO EXTREMO",Q77)))</formula>
    </cfRule>
    <cfRule type="containsText" dxfId="1410" priority="1923" operator="containsText" text="RIESGO ALTO">
      <formula>NOT(ISERROR(SEARCH("RIESGO ALTO",Q77)))</formula>
    </cfRule>
    <cfRule type="containsText" dxfId="1409" priority="1924" operator="containsText" text="RIESGO MODERADO">
      <formula>NOT(ISERROR(SEARCH("RIESGO MODERADO",Q77)))</formula>
    </cfRule>
    <cfRule type="containsText" dxfId="1408" priority="1925" operator="containsText" text="RIESGO BAJO">
      <formula>NOT(ISERROR(SEARCH("RIESGO BAJO",Q77)))</formula>
    </cfRule>
  </conditionalFormatting>
  <conditionalFormatting sqref="I77:I78">
    <cfRule type="expression" dxfId="1407" priority="1921">
      <formula>EXACT(F77,"Seguridad_de_la_informacion")</formula>
    </cfRule>
  </conditionalFormatting>
  <conditionalFormatting sqref="J77:J80">
    <cfRule type="expression" dxfId="1406" priority="1920">
      <formula>EXACT(F77,"Seguridad_de_la_informacion")</formula>
    </cfRule>
  </conditionalFormatting>
  <conditionalFormatting sqref="AZ77:BA77 AZ78:AZ79">
    <cfRule type="containsText" dxfId="1405" priority="1917" operator="containsText" text="RIESGO ALTO">
      <formula>NOT(ISERROR(SEARCH("RIESGO ALTO",AZ77)))</formula>
    </cfRule>
    <cfRule type="containsText" dxfId="1404" priority="1918" operator="containsText" text="RIESGO MODERADO">
      <formula>NOT(ISERROR(SEARCH("RIESGO MODERADO",AZ77)))</formula>
    </cfRule>
    <cfRule type="containsText" dxfId="1403" priority="1919" operator="containsText" text="RIESGO BAJO">
      <formula>NOT(ISERROR(SEARCH("RIESGO BAJO",AZ77)))</formula>
    </cfRule>
    <cfRule type="containsText" dxfId="1402" priority="2667" operator="containsText" text="RIESGO EXTREMO">
      <formula>NOT(ISERROR(SEARCH("RIESGO EXTREMO",AZ77)))</formula>
    </cfRule>
  </conditionalFormatting>
  <conditionalFormatting sqref="Q81:Q83 BB84 BE84">
    <cfRule type="containsText" dxfId="1401" priority="1908" operator="containsText" text="RIESGO EXTREMO">
      <formula>NOT(ISERROR(SEARCH("RIESGO EXTREMO",Q81)))</formula>
    </cfRule>
    <cfRule type="containsText" dxfId="1400" priority="1909" operator="containsText" text="RIESGO ALTO">
      <formula>NOT(ISERROR(SEARCH("RIESGO ALTO",Q81)))</formula>
    </cfRule>
    <cfRule type="containsText" dxfId="1399" priority="1910" operator="containsText" text="RIESGO MODERADO">
      <formula>NOT(ISERROR(SEARCH("RIESGO MODERADO",Q81)))</formula>
    </cfRule>
    <cfRule type="containsText" dxfId="1398" priority="1911" operator="containsText" text="RIESGO BAJO">
      <formula>NOT(ISERROR(SEARCH("RIESGO BAJO",Q81)))</formula>
    </cfRule>
  </conditionalFormatting>
  <conditionalFormatting sqref="I81:I82">
    <cfRule type="expression" dxfId="1397" priority="1907">
      <formula>EXACT(F81,"Seguridad_de_la_informacion")</formula>
    </cfRule>
  </conditionalFormatting>
  <conditionalFormatting sqref="J81:J84">
    <cfRule type="expression" dxfId="1396" priority="1906">
      <formula>EXACT(F81,"Seguridad_de_la_informacion")</formula>
    </cfRule>
  </conditionalFormatting>
  <conditionalFormatting sqref="AZ81:BA81 AZ82:AZ83">
    <cfRule type="containsText" dxfId="1395" priority="1902" operator="containsText" text="RIESGO EXTREMO">
      <formula>NOT(ISERROR(SEARCH("RIESGO EXTREMO",AZ81)))</formula>
    </cfRule>
    <cfRule type="containsText" dxfId="1394" priority="1903" operator="containsText" text="RIESGO ALTO">
      <formula>NOT(ISERROR(SEARCH("RIESGO ALTO",AZ81)))</formula>
    </cfRule>
    <cfRule type="containsText" dxfId="1393" priority="1904" operator="containsText" text="RIESGO MODERADO">
      <formula>NOT(ISERROR(SEARCH("RIESGO MODERADO",AZ81)))</formula>
    </cfRule>
    <cfRule type="containsText" dxfId="1392" priority="1905" operator="containsText" text="RIESGO BAJO">
      <formula>NOT(ISERROR(SEARCH("RIESGO BAJO",AZ81)))</formula>
    </cfRule>
  </conditionalFormatting>
  <conditionalFormatting sqref="BD47:BD48">
    <cfRule type="containsText" dxfId="1391" priority="1804" operator="containsText" text="RIESGO EXTREMO">
      <formula>NOT(ISERROR(SEARCH("RIESGO EXTREMO",BD47)))</formula>
    </cfRule>
    <cfRule type="containsText" dxfId="1390" priority="1805" operator="containsText" text="RIESGO ALTO">
      <formula>NOT(ISERROR(SEARCH("RIESGO ALTO",BD47)))</formula>
    </cfRule>
    <cfRule type="containsText" dxfId="1389" priority="1806" operator="containsText" text="RIESGO MODERADO">
      <formula>NOT(ISERROR(SEARCH("RIESGO MODERADO",BD47)))</formula>
    </cfRule>
    <cfRule type="containsText" dxfId="1388" priority="1807" operator="containsText" text="RIESGO BAJO">
      <formula>NOT(ISERROR(SEARCH("RIESGO BAJO",BD47)))</formula>
    </cfRule>
  </conditionalFormatting>
  <conditionalFormatting sqref="Q47:Q48 AZ47:BA47 BJ47">
    <cfRule type="containsText" dxfId="1387" priority="1810" operator="containsText" text="RIESGO EXTREMO">
      <formula>NOT(ISERROR(SEARCH("RIESGO EXTREMO",Q47)))</formula>
    </cfRule>
    <cfRule type="containsText" dxfId="1386" priority="1811" operator="containsText" text="RIESGO ALTO">
      <formula>NOT(ISERROR(SEARCH("RIESGO ALTO",Q47)))</formula>
    </cfRule>
    <cfRule type="containsText" dxfId="1385" priority="1812" operator="containsText" text="RIESGO MODERADO">
      <formula>NOT(ISERROR(SEARCH("RIESGO MODERADO",Q47)))</formula>
    </cfRule>
    <cfRule type="containsText" dxfId="1384" priority="1813" operator="containsText" text="RIESGO BAJO">
      <formula>NOT(ISERROR(SEARCH("RIESGO BAJO",Q47)))</formula>
    </cfRule>
  </conditionalFormatting>
  <conditionalFormatting sqref="AZ51:BA51 AZ52">
    <cfRule type="containsText" dxfId="1383" priority="1741" operator="containsText" text="RIESGO EXTREMO">
      <formula>NOT(ISERROR(SEARCH("RIESGO EXTREMO",AZ51)))</formula>
    </cfRule>
    <cfRule type="containsText" dxfId="1382" priority="1742" operator="containsText" text="RIESGO ALTO">
      <formula>NOT(ISERROR(SEARCH("RIESGO ALTO",AZ51)))</formula>
    </cfRule>
    <cfRule type="containsText" dxfId="1381" priority="1743" operator="containsText" text="RIESGO MODERADO">
      <formula>NOT(ISERROR(SEARCH("RIESGO MODERADO",AZ51)))</formula>
    </cfRule>
    <cfRule type="containsText" dxfId="1380" priority="1744" operator="containsText" text="RIESGO BAJO">
      <formula>NOT(ISERROR(SEARCH("RIESGO BAJO",AZ51)))</formula>
    </cfRule>
  </conditionalFormatting>
  <conditionalFormatting sqref="I47:I48">
    <cfRule type="expression" dxfId="1379" priority="1809">
      <formula>EXACT(F47,"Seguridad_de_la_informacion")</formula>
    </cfRule>
  </conditionalFormatting>
  <conditionalFormatting sqref="J47:J50">
    <cfRule type="expression" dxfId="1378" priority="1808">
      <formula>EXACT(F47,"Seguridad_de_la_informacion")</formula>
    </cfRule>
  </conditionalFormatting>
  <conditionalFormatting sqref="AZ48">
    <cfRule type="containsText" dxfId="1377" priority="1800" operator="containsText" text="RIESGO EXTREMO">
      <formula>NOT(ISERROR(SEARCH("RIESGO EXTREMO",AZ48)))</formula>
    </cfRule>
    <cfRule type="containsText" dxfId="1376" priority="1801" operator="containsText" text="RIESGO ALTO">
      <formula>NOT(ISERROR(SEARCH("RIESGO ALTO",AZ48)))</formula>
    </cfRule>
    <cfRule type="containsText" dxfId="1375" priority="1802" operator="containsText" text="RIESGO MODERADO">
      <formula>NOT(ISERROR(SEARCH("RIESGO MODERADO",AZ48)))</formula>
    </cfRule>
    <cfRule type="containsText" dxfId="1374" priority="1803" operator="containsText" text="RIESGO BAJO">
      <formula>NOT(ISERROR(SEARCH("RIESGO BAJO",AZ48)))</formula>
    </cfRule>
  </conditionalFormatting>
  <conditionalFormatting sqref="BG47:BI47">
    <cfRule type="containsText" dxfId="1373" priority="1796" operator="containsText" text="RIESGO EXTREMO">
      <formula>NOT(ISERROR(SEARCH("RIESGO EXTREMO",BG47)))</formula>
    </cfRule>
    <cfRule type="containsText" dxfId="1372" priority="1797" operator="containsText" text="RIESGO ALTO">
      <formula>NOT(ISERROR(SEARCH("RIESGO ALTO",BG47)))</formula>
    </cfRule>
    <cfRule type="containsText" dxfId="1371" priority="1798" operator="containsText" text="RIESGO MODERADO">
      <formula>NOT(ISERROR(SEARCH("RIESGO MODERADO",BG47)))</formula>
    </cfRule>
    <cfRule type="containsText" dxfId="1370" priority="1799" operator="containsText" text="RIESGO BAJO">
      <formula>NOT(ISERROR(SEARCH("RIESGO BAJO",BG47)))</formula>
    </cfRule>
  </conditionalFormatting>
  <conditionalFormatting sqref="BE47:BE48">
    <cfRule type="containsText" dxfId="1369" priority="1792" operator="containsText" text="RIESGO EXTREMO">
      <formula>NOT(ISERROR(SEARCH("RIESGO EXTREMO",BE47)))</formula>
    </cfRule>
    <cfRule type="containsText" dxfId="1368" priority="1793" operator="containsText" text="RIESGO ALTO">
      <formula>NOT(ISERROR(SEARCH("RIESGO ALTO",BE47)))</formula>
    </cfRule>
    <cfRule type="containsText" dxfId="1367" priority="1794" operator="containsText" text="RIESGO MODERADO">
      <formula>NOT(ISERROR(SEARCH("RIESGO MODERADO",BE47)))</formula>
    </cfRule>
    <cfRule type="containsText" dxfId="1366" priority="1795" operator="containsText" text="RIESGO BAJO">
      <formula>NOT(ISERROR(SEARCH("RIESGO BAJO",BE47)))</formula>
    </cfRule>
  </conditionalFormatting>
  <conditionalFormatting sqref="Q49:Q50 BC49 BE49:BE50">
    <cfRule type="containsText" dxfId="1365" priority="1788" operator="containsText" text="RIESGO EXTREMO">
      <formula>NOT(ISERROR(SEARCH("RIESGO EXTREMO",Q49)))</formula>
    </cfRule>
    <cfRule type="containsText" dxfId="1364" priority="1789" operator="containsText" text="RIESGO ALTO">
      <formula>NOT(ISERROR(SEARCH("RIESGO ALTO",Q49)))</formula>
    </cfRule>
    <cfRule type="containsText" dxfId="1363" priority="1790" operator="containsText" text="RIESGO MODERADO">
      <formula>NOT(ISERROR(SEARCH("RIESGO MODERADO",Q49)))</formula>
    </cfRule>
    <cfRule type="containsText" dxfId="1362" priority="1791" operator="containsText" text="RIESGO BAJO">
      <formula>NOT(ISERROR(SEARCH("RIESGO BAJO",Q49)))</formula>
    </cfRule>
  </conditionalFormatting>
  <conditionalFormatting sqref="AZ49:BA49 AZ50">
    <cfRule type="containsText" dxfId="1361" priority="1784" operator="containsText" text="RIESGO EXTREMO">
      <formula>NOT(ISERROR(SEARCH("RIESGO EXTREMO",AZ49)))</formula>
    </cfRule>
    <cfRule type="containsText" dxfId="1360" priority="1785" operator="containsText" text="RIESGO ALTO">
      <formula>NOT(ISERROR(SEARCH("RIESGO ALTO",AZ49)))</formula>
    </cfRule>
    <cfRule type="containsText" dxfId="1359" priority="1786" operator="containsText" text="RIESGO MODERADO">
      <formula>NOT(ISERROR(SEARCH("RIESGO MODERADO",AZ49)))</formula>
    </cfRule>
    <cfRule type="containsText" dxfId="1358" priority="1787" operator="containsText" text="RIESGO BAJO">
      <formula>NOT(ISERROR(SEARCH("RIESGO BAJO",AZ49)))</formula>
    </cfRule>
  </conditionalFormatting>
  <conditionalFormatting sqref="BH50:BI50">
    <cfRule type="containsText" dxfId="1357" priority="1780" operator="containsText" text="RIESGO EXTREMO">
      <formula>NOT(ISERROR(SEARCH("RIESGO EXTREMO",BH50)))</formula>
    </cfRule>
    <cfRule type="containsText" dxfId="1356" priority="1781" operator="containsText" text="RIESGO ALTO">
      <formula>NOT(ISERROR(SEARCH("RIESGO ALTO",BH50)))</formula>
    </cfRule>
    <cfRule type="containsText" dxfId="1355" priority="1782" operator="containsText" text="RIESGO MODERADO">
      <formula>NOT(ISERROR(SEARCH("RIESGO MODERADO",BH50)))</formula>
    </cfRule>
    <cfRule type="containsText" dxfId="1354" priority="1783" operator="containsText" text="RIESGO BAJO">
      <formula>NOT(ISERROR(SEARCH("RIESGO BAJO",BH50)))</formula>
    </cfRule>
  </conditionalFormatting>
  <conditionalFormatting sqref="I49:I50">
    <cfRule type="expression" dxfId="1353" priority="1779">
      <formula>EXACT(F49,"Seguridad_de_la_informacion")</formula>
    </cfRule>
  </conditionalFormatting>
  <conditionalFormatting sqref="BB49">
    <cfRule type="containsText" dxfId="1352" priority="1775" operator="containsText" text="RIESGO EXTREMO">
      <formula>NOT(ISERROR(SEARCH("RIESGO EXTREMO",BB49)))</formula>
    </cfRule>
    <cfRule type="containsText" dxfId="1351" priority="1776" operator="containsText" text="RIESGO ALTO">
      <formula>NOT(ISERROR(SEARCH("RIESGO ALTO",BB49)))</formula>
    </cfRule>
    <cfRule type="containsText" dxfId="1350" priority="1777" operator="containsText" text="RIESGO MODERADO">
      <formula>NOT(ISERROR(SEARCH("RIESGO MODERADO",BB49)))</formula>
    </cfRule>
    <cfRule type="containsText" dxfId="1349" priority="1778" operator="containsText" text="RIESGO BAJO">
      <formula>NOT(ISERROR(SEARCH("RIESGO BAJO",BB49)))</formula>
    </cfRule>
  </conditionalFormatting>
  <conditionalFormatting sqref="BF50">
    <cfRule type="containsText" dxfId="1348" priority="1771" operator="containsText" text="RIESGO EXTREMO">
      <formula>NOT(ISERROR(SEARCH("RIESGO EXTREMO",BF50)))</formula>
    </cfRule>
    <cfRule type="containsText" dxfId="1347" priority="1772" operator="containsText" text="RIESGO ALTO">
      <formula>NOT(ISERROR(SEARCH("RIESGO ALTO",BF50)))</formula>
    </cfRule>
    <cfRule type="containsText" dxfId="1346" priority="1773" operator="containsText" text="RIESGO MODERADO">
      <formula>NOT(ISERROR(SEARCH("RIESGO MODERADO",BF50)))</formula>
    </cfRule>
    <cfRule type="containsText" dxfId="1345" priority="1774" operator="containsText" text="RIESGO BAJO">
      <formula>NOT(ISERROR(SEARCH("RIESGO BAJO",BF50)))</formula>
    </cfRule>
  </conditionalFormatting>
  <conditionalFormatting sqref="BJ49">
    <cfRule type="containsText" dxfId="1344" priority="1767" operator="containsText" text="RIESGO EXTREMO">
      <formula>NOT(ISERROR(SEARCH("RIESGO EXTREMO",BJ49)))</formula>
    </cfRule>
    <cfRule type="containsText" dxfId="1343" priority="1768" operator="containsText" text="RIESGO ALTO">
      <formula>NOT(ISERROR(SEARCH("RIESGO ALTO",BJ49)))</formula>
    </cfRule>
    <cfRule type="containsText" dxfId="1342" priority="1769" operator="containsText" text="RIESGO MODERADO">
      <formula>NOT(ISERROR(SEARCH("RIESGO MODERADO",BJ49)))</formula>
    </cfRule>
    <cfRule type="containsText" dxfId="1341" priority="1770" operator="containsText" text="RIESGO BAJO">
      <formula>NOT(ISERROR(SEARCH("RIESGO BAJO",BJ49)))</formula>
    </cfRule>
  </conditionalFormatting>
  <conditionalFormatting sqref="BG49">
    <cfRule type="containsText" dxfId="1340" priority="1763" operator="containsText" text="RIESGO EXTREMO">
      <formula>NOT(ISERROR(SEARCH("RIESGO EXTREMO",BG49)))</formula>
    </cfRule>
    <cfRule type="containsText" dxfId="1339" priority="1764" operator="containsText" text="RIESGO ALTO">
      <formula>NOT(ISERROR(SEARCH("RIESGO ALTO",BG49)))</formula>
    </cfRule>
    <cfRule type="containsText" dxfId="1338" priority="1765" operator="containsText" text="RIESGO MODERADO">
      <formula>NOT(ISERROR(SEARCH("RIESGO MODERADO",BG49)))</formula>
    </cfRule>
    <cfRule type="containsText" dxfId="1337" priority="1766" operator="containsText" text="RIESGO BAJO">
      <formula>NOT(ISERROR(SEARCH("RIESGO BAJO",BG49)))</formula>
    </cfRule>
  </conditionalFormatting>
  <conditionalFormatting sqref="BH49">
    <cfRule type="containsText" dxfId="1336" priority="1759" operator="containsText" text="RIESGO EXTREMO">
      <formula>NOT(ISERROR(SEARCH("RIESGO EXTREMO",BH49)))</formula>
    </cfRule>
    <cfRule type="containsText" dxfId="1335" priority="1760" operator="containsText" text="RIESGO ALTO">
      <formula>NOT(ISERROR(SEARCH("RIESGO ALTO",BH49)))</formula>
    </cfRule>
    <cfRule type="containsText" dxfId="1334" priority="1761" operator="containsText" text="RIESGO MODERADO">
      <formula>NOT(ISERROR(SEARCH("RIESGO MODERADO",BH49)))</formula>
    </cfRule>
    <cfRule type="containsText" dxfId="1333" priority="1762" operator="containsText" text="RIESGO BAJO">
      <formula>NOT(ISERROR(SEARCH("RIESGO BAJO",BH49)))</formula>
    </cfRule>
  </conditionalFormatting>
  <conditionalFormatting sqref="BI49">
    <cfRule type="containsText" dxfId="1332" priority="1755" operator="containsText" text="RIESGO EXTREMO">
      <formula>NOT(ISERROR(SEARCH("RIESGO EXTREMO",BI49)))</formula>
    </cfRule>
    <cfRule type="containsText" dxfId="1331" priority="1756" operator="containsText" text="RIESGO ALTO">
      <formula>NOT(ISERROR(SEARCH("RIESGO ALTO",BI49)))</formula>
    </cfRule>
    <cfRule type="containsText" dxfId="1330" priority="1757" operator="containsText" text="RIESGO MODERADO">
      <formula>NOT(ISERROR(SEARCH("RIESGO MODERADO",BI49)))</formula>
    </cfRule>
    <cfRule type="containsText" dxfId="1329" priority="1758" operator="containsText" text="RIESGO BAJO">
      <formula>NOT(ISERROR(SEARCH("RIESGO BAJO",BI49)))</formula>
    </cfRule>
  </conditionalFormatting>
  <conditionalFormatting sqref="BD49">
    <cfRule type="containsText" dxfId="1328" priority="1751" operator="containsText" text="RIESGO EXTREMO">
      <formula>NOT(ISERROR(SEARCH("RIESGO EXTREMO",BD49)))</formula>
    </cfRule>
    <cfRule type="containsText" dxfId="1327" priority="1752" operator="containsText" text="RIESGO ALTO">
      <formula>NOT(ISERROR(SEARCH("RIESGO ALTO",BD49)))</formula>
    </cfRule>
    <cfRule type="containsText" dxfId="1326" priority="1753" operator="containsText" text="RIESGO MODERADO">
      <formula>NOT(ISERROR(SEARCH("RIESGO MODERADO",BD49)))</formula>
    </cfRule>
    <cfRule type="containsText" dxfId="1325" priority="1754" operator="containsText" text="RIESGO BAJO">
      <formula>NOT(ISERROR(SEARCH("RIESGO BAJO",BD49)))</formula>
    </cfRule>
  </conditionalFormatting>
  <conditionalFormatting sqref="Q51:Q52 BB51:BE52">
    <cfRule type="containsText" dxfId="1324" priority="1747" operator="containsText" text="RIESGO EXTREMO">
      <formula>NOT(ISERROR(SEARCH("RIESGO EXTREMO",Q51)))</formula>
    </cfRule>
    <cfRule type="containsText" dxfId="1323" priority="1748" operator="containsText" text="RIESGO ALTO">
      <formula>NOT(ISERROR(SEARCH("RIESGO ALTO",Q51)))</formula>
    </cfRule>
    <cfRule type="containsText" dxfId="1322" priority="1749" operator="containsText" text="RIESGO MODERADO">
      <formula>NOT(ISERROR(SEARCH("RIESGO MODERADO",Q51)))</formula>
    </cfRule>
    <cfRule type="containsText" dxfId="1321" priority="1750" operator="containsText" text="RIESGO BAJO">
      <formula>NOT(ISERROR(SEARCH("RIESGO BAJO",Q51)))</formula>
    </cfRule>
  </conditionalFormatting>
  <conditionalFormatting sqref="BG51">
    <cfRule type="containsText" dxfId="1320" priority="1737" operator="containsText" text="RIESGO EXTREMO">
      <formula>NOT(ISERROR(SEARCH("RIESGO EXTREMO",BG51)))</formula>
    </cfRule>
    <cfRule type="containsText" dxfId="1319" priority="1738" operator="containsText" text="RIESGO ALTO">
      <formula>NOT(ISERROR(SEARCH("RIESGO ALTO",BG51)))</formula>
    </cfRule>
    <cfRule type="containsText" dxfId="1318" priority="1739" operator="containsText" text="RIESGO MODERADO">
      <formula>NOT(ISERROR(SEARCH("RIESGO MODERADO",BG51)))</formula>
    </cfRule>
    <cfRule type="containsText" dxfId="1317" priority="1740" operator="containsText" text="RIESGO BAJO">
      <formula>NOT(ISERROR(SEARCH("RIESGO BAJO",BG51)))</formula>
    </cfRule>
  </conditionalFormatting>
  <conditionalFormatting sqref="BH51:BJ51">
    <cfRule type="containsText" dxfId="1316" priority="1733" operator="containsText" text="RIESGO EXTREMO">
      <formula>NOT(ISERROR(SEARCH("RIESGO EXTREMO",BH51)))</formula>
    </cfRule>
    <cfRule type="containsText" dxfId="1315" priority="1734" operator="containsText" text="RIESGO ALTO">
      <formula>NOT(ISERROR(SEARCH("RIESGO ALTO",BH51)))</formula>
    </cfRule>
    <cfRule type="containsText" dxfId="1314" priority="1735" operator="containsText" text="RIESGO MODERADO">
      <formula>NOT(ISERROR(SEARCH("RIESGO MODERADO",BH51)))</formula>
    </cfRule>
    <cfRule type="containsText" dxfId="1313" priority="1736" operator="containsText" text="RIESGO BAJO">
      <formula>NOT(ISERROR(SEARCH("RIESGO BAJO",BH51)))</formula>
    </cfRule>
  </conditionalFormatting>
  <conditionalFormatting sqref="Q53:Q55 BC53:BC54 BB53:BB56 BE53:BE56">
    <cfRule type="containsText" dxfId="1312" priority="1729" operator="containsText" text="RIESGO EXTREMO">
      <formula>NOT(ISERROR(SEARCH("RIESGO EXTREMO",Q53)))</formula>
    </cfRule>
    <cfRule type="containsText" dxfId="1311" priority="1730" operator="containsText" text="RIESGO ALTO">
      <formula>NOT(ISERROR(SEARCH("RIESGO ALTO",Q53)))</formula>
    </cfRule>
    <cfRule type="containsText" dxfId="1310" priority="1731" operator="containsText" text="RIESGO MODERADO">
      <formula>NOT(ISERROR(SEARCH("RIESGO MODERADO",Q53)))</formula>
    </cfRule>
    <cfRule type="containsText" dxfId="1309" priority="1732" operator="containsText" text="RIESGO BAJO">
      <formula>NOT(ISERROR(SEARCH("RIESGO BAJO",Q53)))</formula>
    </cfRule>
  </conditionalFormatting>
  <conditionalFormatting sqref="I53:I54">
    <cfRule type="expression" dxfId="1308" priority="1728">
      <formula>EXACT(F53,"Seguridad_de_la_informacion")</formula>
    </cfRule>
  </conditionalFormatting>
  <conditionalFormatting sqref="J53:J56">
    <cfRule type="expression" dxfId="1307" priority="1727">
      <formula>EXACT(F53,"Seguridad_de_la_informacion")</formula>
    </cfRule>
  </conditionalFormatting>
  <conditionalFormatting sqref="AZ53:BA53 AZ54:AZ55">
    <cfRule type="containsText" dxfId="1306" priority="1723" operator="containsText" text="RIESGO EXTREMO">
      <formula>NOT(ISERROR(SEARCH("RIESGO EXTREMO",AZ53)))</formula>
    </cfRule>
    <cfRule type="containsText" dxfId="1305" priority="1724" operator="containsText" text="RIESGO ALTO">
      <formula>NOT(ISERROR(SEARCH("RIESGO ALTO",AZ53)))</formula>
    </cfRule>
    <cfRule type="containsText" dxfId="1304" priority="1725" operator="containsText" text="RIESGO MODERADO">
      <formula>NOT(ISERROR(SEARCH("RIESGO MODERADO",AZ53)))</formula>
    </cfRule>
    <cfRule type="containsText" dxfId="1303" priority="1726" operator="containsText" text="RIESGO BAJO">
      <formula>NOT(ISERROR(SEARCH("RIESGO BAJO",AZ53)))</formula>
    </cfRule>
  </conditionalFormatting>
  <conditionalFormatting sqref="BD53:BD54">
    <cfRule type="containsText" dxfId="1302" priority="1719" operator="containsText" text="RIESGO EXTREMO">
      <formula>NOT(ISERROR(SEARCH("RIESGO EXTREMO",BD53)))</formula>
    </cfRule>
    <cfRule type="containsText" dxfId="1301" priority="1720" operator="containsText" text="RIESGO ALTO">
      <formula>NOT(ISERROR(SEARCH("RIESGO ALTO",BD53)))</formula>
    </cfRule>
    <cfRule type="containsText" dxfId="1300" priority="1721" operator="containsText" text="RIESGO MODERADO">
      <formula>NOT(ISERROR(SEARCH("RIESGO MODERADO",BD53)))</formula>
    </cfRule>
    <cfRule type="containsText" dxfId="1299" priority="1722" operator="containsText" text="RIESGO BAJO">
      <formula>NOT(ISERROR(SEARCH("RIESGO BAJO",BD53)))</formula>
    </cfRule>
  </conditionalFormatting>
  <conditionalFormatting sqref="BG53:BJ53 BH54">
    <cfRule type="containsText" dxfId="1298" priority="1715" operator="containsText" text="RIESGO EXTREMO">
      <formula>NOT(ISERROR(SEARCH("RIESGO EXTREMO",BG53)))</formula>
    </cfRule>
    <cfRule type="containsText" dxfId="1297" priority="1716" operator="containsText" text="RIESGO ALTO">
      <formula>NOT(ISERROR(SEARCH("RIESGO ALTO",BG53)))</formula>
    </cfRule>
    <cfRule type="containsText" dxfId="1296" priority="1717" operator="containsText" text="RIESGO MODERADO">
      <formula>NOT(ISERROR(SEARCH("RIESGO MODERADO",BG53)))</formula>
    </cfRule>
    <cfRule type="containsText" dxfId="1295" priority="1718" operator="containsText" text="RIESGO BAJO">
      <formula>NOT(ISERROR(SEARCH("RIESGO BAJO",BG53)))</formula>
    </cfRule>
  </conditionalFormatting>
  <conditionalFormatting sqref="BI54">
    <cfRule type="containsText" dxfId="1294" priority="1711" operator="containsText" text="RIESGO EXTREMO">
      <formula>NOT(ISERROR(SEARCH("RIESGO EXTREMO",BI54)))</formula>
    </cfRule>
    <cfRule type="containsText" dxfId="1293" priority="1712" operator="containsText" text="RIESGO ALTO">
      <formula>NOT(ISERROR(SEARCH("RIESGO ALTO",BI54)))</formula>
    </cfRule>
    <cfRule type="containsText" dxfId="1292" priority="1713" operator="containsText" text="RIESGO MODERADO">
      <formula>NOT(ISERROR(SEARCH("RIESGO MODERADO",BI54)))</formula>
    </cfRule>
    <cfRule type="containsText" dxfId="1291" priority="1714" operator="containsText" text="RIESGO BAJO">
      <formula>NOT(ISERROR(SEARCH("RIESGO BAJO",BI54)))</formula>
    </cfRule>
  </conditionalFormatting>
  <conditionalFormatting sqref="BJ54">
    <cfRule type="containsText" dxfId="1290" priority="1707" operator="containsText" text="RIESGO EXTREMO">
      <formula>NOT(ISERROR(SEARCH("RIESGO EXTREMO",BJ54)))</formula>
    </cfRule>
    <cfRule type="containsText" dxfId="1289" priority="1708" operator="containsText" text="RIESGO ALTO">
      <formula>NOT(ISERROR(SEARCH("RIESGO ALTO",BJ54)))</formula>
    </cfRule>
    <cfRule type="containsText" dxfId="1288" priority="1709" operator="containsText" text="RIESGO MODERADO">
      <formula>NOT(ISERROR(SEARCH("RIESGO MODERADO",BJ54)))</formula>
    </cfRule>
    <cfRule type="containsText" dxfId="1287" priority="1710" operator="containsText" text="RIESGO BAJO">
      <formula>NOT(ISERROR(SEARCH("RIESGO BAJO",BJ54)))</formula>
    </cfRule>
  </conditionalFormatting>
  <conditionalFormatting sqref="Q57:Q59 BB59:BB60 BE59:BE60">
    <cfRule type="containsText" dxfId="1286" priority="1699" operator="containsText" text="RIESGO EXTREMO">
      <formula>NOT(ISERROR(SEARCH("RIESGO EXTREMO",Q57)))</formula>
    </cfRule>
    <cfRule type="containsText" dxfId="1285" priority="1700" operator="containsText" text="RIESGO ALTO">
      <formula>NOT(ISERROR(SEARCH("RIESGO ALTO",Q57)))</formula>
    </cfRule>
    <cfRule type="containsText" dxfId="1284" priority="1701" operator="containsText" text="RIESGO MODERADO">
      <formula>NOT(ISERROR(SEARCH("RIESGO MODERADO",Q57)))</formula>
    </cfRule>
    <cfRule type="containsText" dxfId="1283" priority="1702" operator="containsText" text="RIESGO BAJO">
      <formula>NOT(ISERROR(SEARCH("RIESGO BAJO",Q57)))</formula>
    </cfRule>
  </conditionalFormatting>
  <conditionalFormatting sqref="I57:I58">
    <cfRule type="expression" dxfId="1282" priority="1698">
      <formula>EXACT(F57,"Seguridad_de_la_informacion")</formula>
    </cfRule>
  </conditionalFormatting>
  <conditionalFormatting sqref="J57:J60">
    <cfRule type="expression" dxfId="1281" priority="1697">
      <formula>EXACT(F57,"Seguridad_de_la_informacion")</formula>
    </cfRule>
  </conditionalFormatting>
  <conditionalFormatting sqref="AZ57:BA57 AZ58:AZ59">
    <cfRule type="containsText" dxfId="1280" priority="1693" operator="containsText" text="RIESGO EXTREMO">
      <formula>NOT(ISERROR(SEARCH("RIESGO EXTREMO",AZ57)))</formula>
    </cfRule>
    <cfRule type="containsText" dxfId="1279" priority="1694" operator="containsText" text="RIESGO ALTO">
      <formula>NOT(ISERROR(SEARCH("RIESGO ALTO",AZ57)))</formula>
    </cfRule>
    <cfRule type="containsText" dxfId="1278" priority="1695" operator="containsText" text="RIESGO MODERADO">
      <formula>NOT(ISERROR(SEARCH("RIESGO MODERADO",AZ57)))</formula>
    </cfRule>
    <cfRule type="containsText" dxfId="1277" priority="1696" operator="containsText" text="RIESGO BAJO">
      <formula>NOT(ISERROR(SEARCH("RIESGO BAJO",AZ57)))</formula>
    </cfRule>
  </conditionalFormatting>
  <conditionalFormatting sqref="BE57:BE58 BB57:BC58">
    <cfRule type="containsText" dxfId="1276" priority="1689" operator="containsText" text="RIESGO EXTREMO">
      <formula>NOT(ISERROR(SEARCH("RIESGO EXTREMO",BB57)))</formula>
    </cfRule>
    <cfRule type="containsText" dxfId="1275" priority="1690" operator="containsText" text="RIESGO ALTO">
      <formula>NOT(ISERROR(SEARCH("RIESGO ALTO",BB57)))</formula>
    </cfRule>
    <cfRule type="containsText" dxfId="1274" priority="1691" operator="containsText" text="RIESGO MODERADO">
      <formula>NOT(ISERROR(SEARCH("RIESGO MODERADO",BB57)))</formula>
    </cfRule>
    <cfRule type="containsText" dxfId="1273" priority="1692" operator="containsText" text="RIESGO BAJO">
      <formula>NOT(ISERROR(SEARCH("RIESGO BAJO",BB57)))</formula>
    </cfRule>
  </conditionalFormatting>
  <conditionalFormatting sqref="BD57:BD58">
    <cfRule type="containsText" dxfId="1272" priority="1685" operator="containsText" text="RIESGO EXTREMO">
      <formula>NOT(ISERROR(SEARCH("RIESGO EXTREMO",BD57)))</formula>
    </cfRule>
    <cfRule type="containsText" dxfId="1271" priority="1686" operator="containsText" text="RIESGO ALTO">
      <formula>NOT(ISERROR(SEARCH("RIESGO ALTO",BD57)))</formula>
    </cfRule>
    <cfRule type="containsText" dxfId="1270" priority="1687" operator="containsText" text="RIESGO MODERADO">
      <formula>NOT(ISERROR(SEARCH("RIESGO MODERADO",BD57)))</formula>
    </cfRule>
    <cfRule type="containsText" dxfId="1269" priority="1688" operator="containsText" text="RIESGO BAJO">
      <formula>NOT(ISERROR(SEARCH("RIESGO BAJO",BD57)))</formula>
    </cfRule>
  </conditionalFormatting>
  <conditionalFormatting sqref="BG57">
    <cfRule type="containsText" dxfId="1268" priority="1681" operator="containsText" text="RIESGO EXTREMO">
      <formula>NOT(ISERROR(SEARCH("RIESGO EXTREMO",BG57)))</formula>
    </cfRule>
    <cfRule type="containsText" dxfId="1267" priority="1682" operator="containsText" text="RIESGO ALTO">
      <formula>NOT(ISERROR(SEARCH("RIESGO ALTO",BG57)))</formula>
    </cfRule>
    <cfRule type="containsText" dxfId="1266" priority="1683" operator="containsText" text="RIESGO MODERADO">
      <formula>NOT(ISERROR(SEARCH("RIESGO MODERADO",BG57)))</formula>
    </cfRule>
    <cfRule type="containsText" dxfId="1265" priority="1684" operator="containsText" text="RIESGO BAJO">
      <formula>NOT(ISERROR(SEARCH("RIESGO BAJO",BG57)))</formula>
    </cfRule>
  </conditionalFormatting>
  <conditionalFormatting sqref="BH57:BK57">
    <cfRule type="containsText" dxfId="1264" priority="1677" operator="containsText" text="RIESGO EXTREMO">
      <formula>NOT(ISERROR(SEARCH("RIESGO EXTREMO",BH57)))</formula>
    </cfRule>
    <cfRule type="containsText" dxfId="1263" priority="1678" operator="containsText" text="RIESGO ALTO">
      <formula>NOT(ISERROR(SEARCH("RIESGO ALTO",BH57)))</formula>
    </cfRule>
    <cfRule type="containsText" dxfId="1262" priority="1679" operator="containsText" text="RIESGO MODERADO">
      <formula>NOT(ISERROR(SEARCH("RIESGO MODERADO",BH57)))</formula>
    </cfRule>
    <cfRule type="containsText" dxfId="1261" priority="1680" operator="containsText" text="RIESGO BAJO">
      <formula>NOT(ISERROR(SEARCH("RIESGO BAJO",BH57)))</formula>
    </cfRule>
  </conditionalFormatting>
  <conditionalFormatting sqref="BB61:BB63 BD62:BE62 BC61:BE61 BE63">
    <cfRule type="containsText" dxfId="1260" priority="1673" operator="containsText" text="RIESGO EXTREMO">
      <formula>NOT(ISERROR(SEARCH("RIESGO EXTREMO",BB61)))</formula>
    </cfRule>
    <cfRule type="containsText" dxfId="1259" priority="1674" operator="containsText" text="RIESGO ALTO">
      <formula>NOT(ISERROR(SEARCH("RIESGO ALTO",BB61)))</formula>
    </cfRule>
    <cfRule type="containsText" dxfId="1258" priority="1675" operator="containsText" text="RIESGO MODERADO">
      <formula>NOT(ISERROR(SEARCH("RIESGO MODERADO",BB61)))</formula>
    </cfRule>
    <cfRule type="containsText" dxfId="1257" priority="1676" operator="containsText" text="RIESGO BAJO">
      <formula>NOT(ISERROR(SEARCH("RIESGO BAJO",BB61)))</formula>
    </cfRule>
  </conditionalFormatting>
  <conditionalFormatting sqref="BD63">
    <cfRule type="containsText" dxfId="1256" priority="1669" operator="containsText" text="RIESGO EXTREMO">
      <formula>NOT(ISERROR(SEARCH("RIESGO EXTREMO",BD63)))</formula>
    </cfRule>
    <cfRule type="containsText" dxfId="1255" priority="1670" operator="containsText" text="RIESGO ALTO">
      <formula>NOT(ISERROR(SEARCH("RIESGO ALTO",BD63)))</formula>
    </cfRule>
    <cfRule type="containsText" dxfId="1254" priority="1671" operator="containsText" text="RIESGO MODERADO">
      <formula>NOT(ISERROR(SEARCH("RIESGO MODERADO",BD63)))</formula>
    </cfRule>
    <cfRule type="containsText" dxfId="1253" priority="1672" operator="containsText" text="RIESGO BAJO">
      <formula>NOT(ISERROR(SEARCH("RIESGO BAJO",BD63)))</formula>
    </cfRule>
  </conditionalFormatting>
  <conditionalFormatting sqref="BG61">
    <cfRule type="containsText" dxfId="1252" priority="1665" operator="containsText" text="RIESGO EXTREMO">
      <formula>NOT(ISERROR(SEARCH("RIESGO EXTREMO",BG61)))</formula>
    </cfRule>
    <cfRule type="containsText" dxfId="1251" priority="1666" operator="containsText" text="RIESGO ALTO">
      <formula>NOT(ISERROR(SEARCH("RIESGO ALTO",BG61)))</formula>
    </cfRule>
    <cfRule type="containsText" dxfId="1250" priority="1667" operator="containsText" text="RIESGO MODERADO">
      <formula>NOT(ISERROR(SEARCH("RIESGO MODERADO",BG61)))</formula>
    </cfRule>
    <cfRule type="containsText" dxfId="1249" priority="1668" operator="containsText" text="RIESGO BAJO">
      <formula>NOT(ISERROR(SEARCH("RIESGO BAJO",BG61)))</formula>
    </cfRule>
  </conditionalFormatting>
  <conditionalFormatting sqref="BH61:BJ61">
    <cfRule type="containsText" dxfId="1248" priority="1661" operator="containsText" text="RIESGO EXTREMO">
      <formula>NOT(ISERROR(SEARCH("RIESGO EXTREMO",BH61)))</formula>
    </cfRule>
    <cfRule type="containsText" dxfId="1247" priority="1662" operator="containsText" text="RIESGO ALTO">
      <formula>NOT(ISERROR(SEARCH("RIESGO ALTO",BH61)))</formula>
    </cfRule>
    <cfRule type="containsText" dxfId="1246" priority="1663" operator="containsText" text="RIESGO MODERADO">
      <formula>NOT(ISERROR(SEARCH("RIESGO MODERADO",BH61)))</formula>
    </cfRule>
    <cfRule type="containsText" dxfId="1245" priority="1664" operator="containsText" text="RIESGO BAJO">
      <formula>NOT(ISERROR(SEARCH("RIESGO BAJO",BH61)))</formula>
    </cfRule>
  </conditionalFormatting>
  <conditionalFormatting sqref="BB65:BD66">
    <cfRule type="containsText" dxfId="1244" priority="1657" operator="containsText" text="RIESGO EXTREMO">
      <formula>NOT(ISERROR(SEARCH("RIESGO EXTREMO",BB65)))</formula>
    </cfRule>
    <cfRule type="containsText" dxfId="1243" priority="1658" operator="containsText" text="RIESGO ALTO">
      <formula>NOT(ISERROR(SEARCH("RIESGO ALTO",BB65)))</formula>
    </cfRule>
    <cfRule type="containsText" dxfId="1242" priority="1659" operator="containsText" text="RIESGO MODERADO">
      <formula>NOT(ISERROR(SEARCH("RIESGO MODERADO",BB65)))</formula>
    </cfRule>
    <cfRule type="containsText" dxfId="1241" priority="1660" operator="containsText" text="RIESGO BAJO">
      <formula>NOT(ISERROR(SEARCH("RIESGO BAJO",BB65)))</formula>
    </cfRule>
  </conditionalFormatting>
  <conditionalFormatting sqref="BE65">
    <cfRule type="containsText" dxfId="1240" priority="1653" operator="containsText" text="RIESGO EXTREMO">
      <formula>NOT(ISERROR(SEARCH("RIESGO EXTREMO",BE65)))</formula>
    </cfRule>
    <cfRule type="containsText" dxfId="1239" priority="1654" operator="containsText" text="RIESGO ALTO">
      <formula>NOT(ISERROR(SEARCH("RIESGO ALTO",BE65)))</formula>
    </cfRule>
    <cfRule type="containsText" dxfId="1238" priority="1655" operator="containsText" text="RIESGO MODERADO">
      <formula>NOT(ISERROR(SEARCH("RIESGO MODERADO",BE65)))</formula>
    </cfRule>
    <cfRule type="containsText" dxfId="1237" priority="1656" operator="containsText" text="RIESGO BAJO">
      <formula>NOT(ISERROR(SEARCH("RIESGO BAJO",BE65)))</formula>
    </cfRule>
  </conditionalFormatting>
  <conditionalFormatting sqref="BE66">
    <cfRule type="containsText" dxfId="1236" priority="1649" operator="containsText" text="RIESGO EXTREMO">
      <formula>NOT(ISERROR(SEARCH("RIESGO EXTREMO",BE66)))</formula>
    </cfRule>
    <cfRule type="containsText" dxfId="1235" priority="1650" operator="containsText" text="RIESGO ALTO">
      <formula>NOT(ISERROR(SEARCH("RIESGO ALTO",BE66)))</formula>
    </cfRule>
    <cfRule type="containsText" dxfId="1234" priority="1651" operator="containsText" text="RIESGO MODERADO">
      <formula>NOT(ISERROR(SEARCH("RIESGO MODERADO",BE66)))</formula>
    </cfRule>
    <cfRule type="containsText" dxfId="1233" priority="1652" operator="containsText" text="RIESGO BAJO">
      <formula>NOT(ISERROR(SEARCH("RIESGO BAJO",BE66)))</formula>
    </cfRule>
  </conditionalFormatting>
  <conditionalFormatting sqref="BG65">
    <cfRule type="containsText" dxfId="1232" priority="1645" operator="containsText" text="RIESGO EXTREMO">
      <formula>NOT(ISERROR(SEARCH("RIESGO EXTREMO",BG65)))</formula>
    </cfRule>
    <cfRule type="containsText" dxfId="1231" priority="1646" operator="containsText" text="RIESGO ALTO">
      <formula>NOT(ISERROR(SEARCH("RIESGO ALTO",BG65)))</formula>
    </cfRule>
    <cfRule type="containsText" dxfId="1230" priority="1647" operator="containsText" text="RIESGO MODERADO">
      <formula>NOT(ISERROR(SEARCH("RIESGO MODERADO",BG65)))</formula>
    </cfRule>
    <cfRule type="containsText" dxfId="1229" priority="1648" operator="containsText" text="RIESGO BAJO">
      <formula>NOT(ISERROR(SEARCH("RIESGO BAJO",BG65)))</formula>
    </cfRule>
  </conditionalFormatting>
  <conditionalFormatting sqref="BH65:BJ65">
    <cfRule type="containsText" dxfId="1228" priority="1641" operator="containsText" text="RIESGO EXTREMO">
      <formula>NOT(ISERROR(SEARCH("RIESGO EXTREMO",BH65)))</formula>
    </cfRule>
    <cfRule type="containsText" dxfId="1227" priority="1642" operator="containsText" text="RIESGO ALTO">
      <formula>NOT(ISERROR(SEARCH("RIESGO ALTO",BH65)))</formula>
    </cfRule>
    <cfRule type="containsText" dxfId="1226" priority="1643" operator="containsText" text="RIESGO MODERADO">
      <formula>NOT(ISERROR(SEARCH("RIESGO MODERADO",BH65)))</formula>
    </cfRule>
    <cfRule type="containsText" dxfId="1225" priority="1644" operator="containsText" text="RIESGO BAJO">
      <formula>NOT(ISERROR(SEARCH("RIESGO BAJO",BH65)))</formula>
    </cfRule>
  </conditionalFormatting>
  <conditionalFormatting sqref="Q69:Q71 BC69:BD70 BB69:BB72 BE71:BE72">
    <cfRule type="containsText" dxfId="1224" priority="1637" operator="containsText" text="RIESGO EXTREMO">
      <formula>NOT(ISERROR(SEARCH("RIESGO EXTREMO",Q69)))</formula>
    </cfRule>
    <cfRule type="containsText" dxfId="1223" priority="1638" operator="containsText" text="RIESGO ALTO">
      <formula>NOT(ISERROR(SEARCH("RIESGO ALTO",Q69)))</formula>
    </cfRule>
    <cfRule type="containsText" dxfId="1222" priority="1639" operator="containsText" text="RIESGO MODERADO">
      <formula>NOT(ISERROR(SEARCH("RIESGO MODERADO",Q69)))</formula>
    </cfRule>
    <cfRule type="containsText" dxfId="1221" priority="1640" operator="containsText" text="RIESGO BAJO">
      <formula>NOT(ISERROR(SEARCH("RIESGO BAJO",Q69)))</formula>
    </cfRule>
  </conditionalFormatting>
  <conditionalFormatting sqref="AZ69:BA69 AZ70:AZ71">
    <cfRule type="containsText" dxfId="1220" priority="1633" operator="containsText" text="RIESGO EXTREMO">
      <formula>NOT(ISERROR(SEARCH("RIESGO EXTREMO",AZ69)))</formula>
    </cfRule>
    <cfRule type="containsText" dxfId="1219" priority="1634" operator="containsText" text="RIESGO ALTO">
      <formula>NOT(ISERROR(SEARCH("RIESGO ALTO",AZ69)))</formula>
    </cfRule>
    <cfRule type="containsText" dxfId="1218" priority="1635" operator="containsText" text="RIESGO MODERADO">
      <formula>NOT(ISERROR(SEARCH("RIESGO MODERADO",AZ69)))</formula>
    </cfRule>
    <cfRule type="containsText" dxfId="1217" priority="1636" operator="containsText" text="RIESGO BAJO">
      <formula>NOT(ISERROR(SEARCH("RIESGO BAJO",AZ69)))</formula>
    </cfRule>
  </conditionalFormatting>
  <conditionalFormatting sqref="BE69">
    <cfRule type="containsText" dxfId="1216" priority="1629" operator="containsText" text="RIESGO EXTREMO">
      <formula>NOT(ISERROR(SEARCH("RIESGO EXTREMO",BE69)))</formula>
    </cfRule>
    <cfRule type="containsText" dxfId="1215" priority="1630" operator="containsText" text="RIESGO ALTO">
      <formula>NOT(ISERROR(SEARCH("RIESGO ALTO",BE69)))</formula>
    </cfRule>
    <cfRule type="containsText" dxfId="1214" priority="1631" operator="containsText" text="RIESGO MODERADO">
      <formula>NOT(ISERROR(SEARCH("RIESGO MODERADO",BE69)))</formula>
    </cfRule>
    <cfRule type="containsText" dxfId="1213" priority="1632" operator="containsText" text="RIESGO BAJO">
      <formula>NOT(ISERROR(SEARCH("RIESGO BAJO",BE69)))</formula>
    </cfRule>
  </conditionalFormatting>
  <conditionalFormatting sqref="BE70">
    <cfRule type="containsText" dxfId="1212" priority="1625" operator="containsText" text="RIESGO EXTREMO">
      <formula>NOT(ISERROR(SEARCH("RIESGO EXTREMO",BE70)))</formula>
    </cfRule>
    <cfRule type="containsText" dxfId="1211" priority="1626" operator="containsText" text="RIESGO ALTO">
      <formula>NOT(ISERROR(SEARCH("RIESGO ALTO",BE70)))</formula>
    </cfRule>
    <cfRule type="containsText" dxfId="1210" priority="1627" operator="containsText" text="RIESGO MODERADO">
      <formula>NOT(ISERROR(SEARCH("RIESGO MODERADO",BE70)))</formula>
    </cfRule>
    <cfRule type="containsText" dxfId="1209" priority="1628" operator="containsText" text="RIESGO BAJO">
      <formula>NOT(ISERROR(SEARCH("RIESGO BAJO",BE70)))</formula>
    </cfRule>
  </conditionalFormatting>
  <conditionalFormatting sqref="J69:J72">
    <cfRule type="expression" dxfId="1208" priority="1624">
      <formula>EXACT(F69,"Seguridad_de_la_informacion")</formula>
    </cfRule>
  </conditionalFormatting>
  <conditionalFormatting sqref="J73:J76">
    <cfRule type="expression" dxfId="1207" priority="1623">
      <formula>EXACT(F73,"Seguridad_de_la_informacion")</formula>
    </cfRule>
  </conditionalFormatting>
  <conditionalFormatting sqref="Q73:Q75">
    <cfRule type="containsText" dxfId="1206" priority="1619" operator="containsText" text="RIESGO EXTREMO">
      <formula>NOT(ISERROR(SEARCH("RIESGO EXTREMO",Q73)))</formula>
    </cfRule>
    <cfRule type="containsText" dxfId="1205" priority="1620" operator="containsText" text="RIESGO ALTO">
      <formula>NOT(ISERROR(SEARCH("RIESGO ALTO",Q73)))</formula>
    </cfRule>
    <cfRule type="containsText" dxfId="1204" priority="1621" operator="containsText" text="RIESGO MODERADO">
      <formula>NOT(ISERROR(SEARCH("RIESGO MODERADO",Q73)))</formula>
    </cfRule>
    <cfRule type="containsText" dxfId="1203" priority="1622" operator="containsText" text="RIESGO BAJO">
      <formula>NOT(ISERROR(SEARCH("RIESGO BAJO",Q73)))</formula>
    </cfRule>
  </conditionalFormatting>
  <conditionalFormatting sqref="AZ73:AZ75">
    <cfRule type="containsText" dxfId="1202" priority="1615" operator="containsText" text="RIESGO EXTREMO">
      <formula>NOT(ISERROR(SEARCH("RIESGO EXTREMO",AZ73)))</formula>
    </cfRule>
    <cfRule type="containsText" dxfId="1201" priority="1616" operator="containsText" text="RIESGO ALTO">
      <formula>NOT(ISERROR(SEARCH("RIESGO ALTO",AZ73)))</formula>
    </cfRule>
    <cfRule type="containsText" dxfId="1200" priority="1617" operator="containsText" text="RIESGO MODERADO">
      <formula>NOT(ISERROR(SEARCH("RIESGO MODERADO",AZ73)))</formula>
    </cfRule>
    <cfRule type="containsText" dxfId="1199" priority="1618" operator="containsText" text="RIESGO BAJO">
      <formula>NOT(ISERROR(SEARCH("RIESGO BAJO",AZ73)))</formula>
    </cfRule>
  </conditionalFormatting>
  <conditionalFormatting sqref="BB73:BD73 BE75:BE76 BB75:BB76">
    <cfRule type="containsText" dxfId="1198" priority="1611" operator="containsText" text="RIESGO EXTREMO">
      <formula>NOT(ISERROR(SEARCH("RIESGO EXTREMO",BB73)))</formula>
    </cfRule>
    <cfRule type="containsText" dxfId="1197" priority="1612" operator="containsText" text="RIESGO ALTO">
      <formula>NOT(ISERROR(SEARCH("RIESGO ALTO",BB73)))</formula>
    </cfRule>
    <cfRule type="containsText" dxfId="1196" priority="1613" operator="containsText" text="RIESGO MODERADO">
      <formula>NOT(ISERROR(SEARCH("RIESGO MODERADO",BB73)))</formula>
    </cfRule>
    <cfRule type="containsText" dxfId="1195" priority="1614" operator="containsText" text="RIESGO BAJO">
      <formula>NOT(ISERROR(SEARCH("RIESGO BAJO",BB73)))</formula>
    </cfRule>
  </conditionalFormatting>
  <conditionalFormatting sqref="BE73">
    <cfRule type="containsText" dxfId="1194" priority="1607" operator="containsText" text="RIESGO EXTREMO">
      <formula>NOT(ISERROR(SEARCH("RIESGO EXTREMO",BE73)))</formula>
    </cfRule>
    <cfRule type="containsText" dxfId="1193" priority="1608" operator="containsText" text="RIESGO ALTO">
      <formula>NOT(ISERROR(SEARCH("RIESGO ALTO",BE73)))</formula>
    </cfRule>
    <cfRule type="containsText" dxfId="1192" priority="1609" operator="containsText" text="RIESGO MODERADO">
      <formula>NOT(ISERROR(SEARCH("RIESGO MODERADO",BE73)))</formula>
    </cfRule>
    <cfRule type="containsText" dxfId="1191" priority="1610" operator="containsText" text="RIESGO BAJO">
      <formula>NOT(ISERROR(SEARCH("RIESGO BAJO",BE73)))</formula>
    </cfRule>
  </conditionalFormatting>
  <conditionalFormatting sqref="BI73">
    <cfRule type="containsText" dxfId="1190" priority="1603" operator="containsText" text="RIESGO EXTREMO">
      <formula>NOT(ISERROR(SEARCH("RIESGO EXTREMO",BI73)))</formula>
    </cfRule>
    <cfRule type="containsText" dxfId="1189" priority="1604" operator="containsText" text="RIESGO ALTO">
      <formula>NOT(ISERROR(SEARCH("RIESGO ALTO",BI73)))</formula>
    </cfRule>
    <cfRule type="containsText" dxfId="1188" priority="1605" operator="containsText" text="RIESGO MODERADO">
      <formula>NOT(ISERROR(SEARCH("RIESGO MODERADO",BI73)))</formula>
    </cfRule>
    <cfRule type="containsText" dxfId="1187" priority="1606" operator="containsText" text="RIESGO BAJO">
      <formula>NOT(ISERROR(SEARCH("RIESGO BAJO",BI73)))</formula>
    </cfRule>
  </conditionalFormatting>
  <conditionalFormatting sqref="BG73">
    <cfRule type="containsText" dxfId="1186" priority="1599" operator="containsText" text="RIESGO EXTREMO">
      <formula>NOT(ISERROR(SEARCH("RIESGO EXTREMO",BG73)))</formula>
    </cfRule>
    <cfRule type="containsText" dxfId="1185" priority="1600" operator="containsText" text="RIESGO ALTO">
      <formula>NOT(ISERROR(SEARCH("RIESGO ALTO",BG73)))</formula>
    </cfRule>
    <cfRule type="containsText" dxfId="1184" priority="1601" operator="containsText" text="RIESGO MODERADO">
      <formula>NOT(ISERROR(SEARCH("RIESGO MODERADO",BG73)))</formula>
    </cfRule>
    <cfRule type="containsText" dxfId="1183" priority="1602" operator="containsText" text="RIESGO BAJO">
      <formula>NOT(ISERROR(SEARCH("RIESGO BAJO",BG73)))</formula>
    </cfRule>
  </conditionalFormatting>
  <conditionalFormatting sqref="BH73">
    <cfRule type="containsText" dxfId="1182" priority="1595" operator="containsText" text="RIESGO EXTREMO">
      <formula>NOT(ISERROR(SEARCH("RIESGO EXTREMO",BH73)))</formula>
    </cfRule>
    <cfRule type="containsText" dxfId="1181" priority="1596" operator="containsText" text="RIESGO ALTO">
      <formula>NOT(ISERROR(SEARCH("RIESGO ALTO",BH73)))</formula>
    </cfRule>
    <cfRule type="containsText" dxfId="1180" priority="1597" operator="containsText" text="RIESGO MODERADO">
      <formula>NOT(ISERROR(SEARCH("RIESGO MODERADO",BH73)))</formula>
    </cfRule>
    <cfRule type="containsText" dxfId="1179" priority="1598" operator="containsText" text="RIESGO BAJO">
      <formula>NOT(ISERROR(SEARCH("RIESGO BAJO",BH73)))</formula>
    </cfRule>
  </conditionalFormatting>
  <conditionalFormatting sqref="BJ73">
    <cfRule type="containsText" dxfId="1178" priority="1591" operator="containsText" text="RIESGO EXTREMO">
      <formula>NOT(ISERROR(SEARCH("RIESGO EXTREMO",BJ73)))</formula>
    </cfRule>
    <cfRule type="containsText" dxfId="1177" priority="1592" operator="containsText" text="RIESGO ALTO">
      <formula>NOT(ISERROR(SEARCH("RIESGO ALTO",BJ73)))</formula>
    </cfRule>
    <cfRule type="containsText" dxfId="1176" priority="1593" operator="containsText" text="RIESGO MODERADO">
      <formula>NOT(ISERROR(SEARCH("RIESGO MODERADO",BJ73)))</formula>
    </cfRule>
    <cfRule type="containsText" dxfId="1175" priority="1594" operator="containsText" text="RIESGO BAJO">
      <formula>NOT(ISERROR(SEARCH("RIESGO BAJO",BJ73)))</formula>
    </cfRule>
  </conditionalFormatting>
  <conditionalFormatting sqref="BD77 BE79">
    <cfRule type="containsText" dxfId="1174" priority="1587" operator="containsText" text="RIESGO EXTREMO">
      <formula>NOT(ISERROR(SEARCH("RIESGO EXTREMO",BD77)))</formula>
    </cfRule>
    <cfRule type="containsText" dxfId="1173" priority="1588" operator="containsText" text="RIESGO ALTO">
      <formula>NOT(ISERROR(SEARCH("RIESGO ALTO",BD77)))</formula>
    </cfRule>
    <cfRule type="containsText" dxfId="1172" priority="1589" operator="containsText" text="RIESGO MODERADO">
      <formula>NOT(ISERROR(SEARCH("RIESGO MODERADO",BD77)))</formula>
    </cfRule>
    <cfRule type="containsText" dxfId="1171" priority="1590" operator="containsText" text="RIESGO BAJO">
      <formula>NOT(ISERROR(SEARCH("RIESGO BAJO",BD77)))</formula>
    </cfRule>
  </conditionalFormatting>
  <conditionalFormatting sqref="BG78">
    <cfRule type="containsText" dxfId="1170" priority="1583" operator="containsText" text="RIESGO EXTREMO">
      <formula>NOT(ISERROR(SEARCH("RIESGO EXTREMO",BG78)))</formula>
    </cfRule>
    <cfRule type="containsText" dxfId="1169" priority="1584" operator="containsText" text="RIESGO ALTO">
      <formula>NOT(ISERROR(SEARCH("RIESGO ALTO",BG78)))</formula>
    </cfRule>
    <cfRule type="containsText" dxfId="1168" priority="1585" operator="containsText" text="RIESGO MODERADO">
      <formula>NOT(ISERROR(SEARCH("RIESGO MODERADO",BG78)))</formula>
    </cfRule>
    <cfRule type="containsText" dxfId="1167" priority="1586" operator="containsText" text="RIESGO BAJO">
      <formula>NOT(ISERROR(SEARCH("RIESGO BAJO",BG78)))</formula>
    </cfRule>
  </conditionalFormatting>
  <conditionalFormatting sqref="BE77:BE78">
    <cfRule type="containsText" dxfId="1166" priority="1579" operator="containsText" text="RIESGO EXTREMO">
      <formula>NOT(ISERROR(SEARCH("RIESGO EXTREMO",BE77)))</formula>
    </cfRule>
    <cfRule type="containsText" dxfId="1165" priority="1580" operator="containsText" text="RIESGO ALTO">
      <formula>NOT(ISERROR(SEARCH("RIESGO ALTO",BE77)))</formula>
    </cfRule>
    <cfRule type="containsText" dxfId="1164" priority="1581" operator="containsText" text="RIESGO MODERADO">
      <formula>NOT(ISERROR(SEARCH("RIESGO MODERADO",BE77)))</formula>
    </cfRule>
    <cfRule type="containsText" dxfId="1163" priority="1582" operator="containsText" text="RIESGO BAJO">
      <formula>NOT(ISERROR(SEARCH("RIESGO BAJO",BE77)))</formula>
    </cfRule>
  </conditionalFormatting>
  <conditionalFormatting sqref="BG77">
    <cfRule type="containsText" dxfId="1162" priority="1575" operator="containsText" text="RIESGO EXTREMO">
      <formula>NOT(ISERROR(SEARCH("RIESGO EXTREMO",BG77)))</formula>
    </cfRule>
    <cfRule type="containsText" dxfId="1161" priority="1576" operator="containsText" text="RIESGO ALTO">
      <formula>NOT(ISERROR(SEARCH("RIESGO ALTO",BG77)))</formula>
    </cfRule>
    <cfRule type="containsText" dxfId="1160" priority="1577" operator="containsText" text="RIESGO MODERADO">
      <formula>NOT(ISERROR(SEARCH("RIESGO MODERADO",BG77)))</formula>
    </cfRule>
    <cfRule type="containsText" dxfId="1159" priority="1578" operator="containsText" text="RIESGO BAJO">
      <formula>NOT(ISERROR(SEARCH("RIESGO BAJO",BG77)))</formula>
    </cfRule>
  </conditionalFormatting>
  <conditionalFormatting sqref="BD78">
    <cfRule type="containsText" dxfId="1158" priority="1571" operator="containsText" text="RIESGO EXTREMO">
      <formula>NOT(ISERROR(SEARCH("RIESGO EXTREMO",BD78)))</formula>
    </cfRule>
    <cfRule type="containsText" dxfId="1157" priority="1572" operator="containsText" text="RIESGO ALTO">
      <formula>NOT(ISERROR(SEARCH("RIESGO ALTO",BD78)))</formula>
    </cfRule>
    <cfRule type="containsText" dxfId="1156" priority="1573" operator="containsText" text="RIESGO MODERADO">
      <formula>NOT(ISERROR(SEARCH("RIESGO MODERADO",BD78)))</formula>
    </cfRule>
    <cfRule type="containsText" dxfId="1155" priority="1574" operator="containsText" text="RIESGO BAJO">
      <formula>NOT(ISERROR(SEARCH("RIESGO BAJO",BD78)))</formula>
    </cfRule>
  </conditionalFormatting>
  <conditionalFormatting sqref="BH78:BI78">
    <cfRule type="containsText" dxfId="1154" priority="1567" operator="containsText" text="RIESGO EXTREMO">
      <formula>NOT(ISERROR(SEARCH("RIESGO EXTREMO",BH78)))</formula>
    </cfRule>
    <cfRule type="containsText" dxfId="1153" priority="1568" operator="containsText" text="RIESGO ALTO">
      <formula>NOT(ISERROR(SEARCH("RIESGO ALTO",BH78)))</formula>
    </cfRule>
    <cfRule type="containsText" dxfId="1152" priority="1569" operator="containsText" text="RIESGO MODERADO">
      <formula>NOT(ISERROR(SEARCH("RIESGO MODERADO",BH78)))</formula>
    </cfRule>
    <cfRule type="containsText" dxfId="1151" priority="1570" operator="containsText" text="RIESGO BAJO">
      <formula>NOT(ISERROR(SEARCH("RIESGO BAJO",BH78)))</formula>
    </cfRule>
  </conditionalFormatting>
  <conditionalFormatting sqref="BJ78">
    <cfRule type="containsText" dxfId="1150" priority="1563" operator="containsText" text="RIESGO EXTREMO">
      <formula>NOT(ISERROR(SEARCH("RIESGO EXTREMO",BJ78)))</formula>
    </cfRule>
    <cfRule type="containsText" dxfId="1149" priority="1564" operator="containsText" text="RIESGO ALTO">
      <formula>NOT(ISERROR(SEARCH("RIESGO ALTO",BJ78)))</formula>
    </cfRule>
    <cfRule type="containsText" dxfId="1148" priority="1565" operator="containsText" text="RIESGO MODERADO">
      <formula>NOT(ISERROR(SEARCH("RIESGO MODERADO",BJ78)))</formula>
    </cfRule>
    <cfRule type="containsText" dxfId="1147" priority="1566" operator="containsText" text="RIESGO BAJO">
      <formula>NOT(ISERROR(SEARCH("RIESGO BAJO",BJ78)))</formula>
    </cfRule>
  </conditionalFormatting>
  <conditionalFormatting sqref="BH77:BI77">
    <cfRule type="containsText" dxfId="1146" priority="1559" operator="containsText" text="RIESGO EXTREMO">
      <formula>NOT(ISERROR(SEARCH("RIESGO EXTREMO",BH77)))</formula>
    </cfRule>
    <cfRule type="containsText" dxfId="1145" priority="1560" operator="containsText" text="RIESGO ALTO">
      <formula>NOT(ISERROR(SEARCH("RIESGO ALTO",BH77)))</formula>
    </cfRule>
    <cfRule type="containsText" dxfId="1144" priority="1561" operator="containsText" text="RIESGO MODERADO">
      <formula>NOT(ISERROR(SEARCH("RIESGO MODERADO",BH77)))</formula>
    </cfRule>
    <cfRule type="containsText" dxfId="1143" priority="1562" operator="containsText" text="RIESGO BAJO">
      <formula>NOT(ISERROR(SEARCH("RIESGO BAJO",BH77)))</formula>
    </cfRule>
  </conditionalFormatting>
  <conditionalFormatting sqref="BJ77">
    <cfRule type="containsText" dxfId="1142" priority="1555" operator="containsText" text="RIESGO EXTREMO">
      <formula>NOT(ISERROR(SEARCH("RIESGO EXTREMO",BJ77)))</formula>
    </cfRule>
    <cfRule type="containsText" dxfId="1141" priority="1556" operator="containsText" text="RIESGO ALTO">
      <formula>NOT(ISERROR(SEARCH("RIESGO ALTO",BJ77)))</formula>
    </cfRule>
    <cfRule type="containsText" dxfId="1140" priority="1557" operator="containsText" text="RIESGO MODERADO">
      <formula>NOT(ISERROR(SEARCH("RIESGO MODERADO",BJ77)))</formula>
    </cfRule>
    <cfRule type="containsText" dxfId="1139" priority="1558" operator="containsText" text="RIESGO BAJO">
      <formula>NOT(ISERROR(SEARCH("RIESGO BAJO",BJ77)))</formula>
    </cfRule>
  </conditionalFormatting>
  <conditionalFormatting sqref="BH81:BI82 BG81 BJ81">
    <cfRule type="containsText" dxfId="1138" priority="1551" operator="containsText" text="RIESGO EXTREMO">
      <formula>NOT(ISERROR(SEARCH("RIESGO EXTREMO",BG81)))</formula>
    </cfRule>
    <cfRule type="containsText" dxfId="1137" priority="1552" operator="containsText" text="RIESGO ALTO">
      <formula>NOT(ISERROR(SEARCH("RIESGO ALTO",BG81)))</formula>
    </cfRule>
    <cfRule type="containsText" dxfId="1136" priority="1553" operator="containsText" text="RIESGO MODERADO">
      <formula>NOT(ISERROR(SEARCH("RIESGO MODERADO",BG81)))</formula>
    </cfRule>
    <cfRule type="containsText" dxfId="1135" priority="1554" operator="containsText" text="RIESGO BAJO">
      <formula>NOT(ISERROR(SEARCH("RIESGO BAJO",BG81)))</formula>
    </cfRule>
  </conditionalFormatting>
  <conditionalFormatting sqref="BE81:BE83">
    <cfRule type="containsText" dxfId="1134" priority="1547" operator="containsText" text="RIESGO EXTREMO">
      <formula>NOT(ISERROR(SEARCH("RIESGO EXTREMO",BE81)))</formula>
    </cfRule>
    <cfRule type="containsText" dxfId="1133" priority="1548" operator="containsText" text="RIESGO ALTO">
      <formula>NOT(ISERROR(SEARCH("RIESGO ALTO",BE81)))</formula>
    </cfRule>
    <cfRule type="containsText" dxfId="1132" priority="1549" operator="containsText" text="RIESGO MODERADO">
      <formula>NOT(ISERROR(SEARCH("RIESGO MODERADO",BE81)))</formula>
    </cfRule>
    <cfRule type="containsText" dxfId="1131" priority="1550" operator="containsText" text="RIESGO BAJO">
      <formula>NOT(ISERROR(SEARCH("RIESGO BAJO",BE81)))</formula>
    </cfRule>
  </conditionalFormatting>
  <conditionalFormatting sqref="BD81">
    <cfRule type="containsText" dxfId="1130" priority="1543" operator="containsText" text="RIESGO EXTREMO">
      <formula>NOT(ISERROR(SEARCH("RIESGO EXTREMO",BD81)))</formula>
    </cfRule>
    <cfRule type="containsText" dxfId="1129" priority="1544" operator="containsText" text="RIESGO ALTO">
      <formula>NOT(ISERROR(SEARCH("RIESGO ALTO",BD81)))</formula>
    </cfRule>
    <cfRule type="containsText" dxfId="1128" priority="1545" operator="containsText" text="RIESGO MODERADO">
      <formula>NOT(ISERROR(SEARCH("RIESGO MODERADO",BD81)))</formula>
    </cfRule>
    <cfRule type="containsText" dxfId="1127" priority="1546" operator="containsText" text="RIESGO BAJO">
      <formula>NOT(ISERROR(SEARCH("RIESGO BAJO",BD81)))</formula>
    </cfRule>
  </conditionalFormatting>
  <conditionalFormatting sqref="BD82">
    <cfRule type="containsText" dxfId="1126" priority="1539" operator="containsText" text="RIESGO EXTREMO">
      <formula>NOT(ISERROR(SEARCH("RIESGO EXTREMO",BD82)))</formula>
    </cfRule>
    <cfRule type="containsText" dxfId="1125" priority="1540" operator="containsText" text="RIESGO ALTO">
      <formula>NOT(ISERROR(SEARCH("RIESGO ALTO",BD82)))</formula>
    </cfRule>
    <cfRule type="containsText" dxfId="1124" priority="1541" operator="containsText" text="RIESGO MODERADO">
      <formula>NOT(ISERROR(SEARCH("RIESGO MODERADO",BD82)))</formula>
    </cfRule>
    <cfRule type="containsText" dxfId="1123" priority="1542" operator="containsText" text="RIESGO BAJO">
      <formula>NOT(ISERROR(SEARCH("RIESGO BAJO",BD82)))</formula>
    </cfRule>
  </conditionalFormatting>
  <conditionalFormatting sqref="BD83">
    <cfRule type="containsText" dxfId="1122" priority="1535" operator="containsText" text="RIESGO EXTREMO">
      <formula>NOT(ISERROR(SEARCH("RIESGO EXTREMO",BD83)))</formula>
    </cfRule>
    <cfRule type="containsText" dxfId="1121" priority="1536" operator="containsText" text="RIESGO ALTO">
      <formula>NOT(ISERROR(SEARCH("RIESGO ALTO",BD83)))</formula>
    </cfRule>
    <cfRule type="containsText" dxfId="1120" priority="1537" operator="containsText" text="RIESGO MODERADO">
      <formula>NOT(ISERROR(SEARCH("RIESGO MODERADO",BD83)))</formula>
    </cfRule>
    <cfRule type="containsText" dxfId="1119" priority="1538" operator="containsText" text="RIESGO BAJO">
      <formula>NOT(ISERROR(SEARCH("RIESGO BAJO",BD83)))</formula>
    </cfRule>
  </conditionalFormatting>
  <conditionalFormatting sqref="Q85:Q86">
    <cfRule type="containsText" dxfId="1118" priority="1530" operator="containsText" text="RIESGO EXTREMO">
      <formula>NOT(ISERROR(SEARCH("RIESGO EXTREMO",Q85)))</formula>
    </cfRule>
    <cfRule type="containsText" dxfId="1117" priority="1531" operator="containsText" text="RIESGO ALTO">
      <formula>NOT(ISERROR(SEARCH("RIESGO ALTO",Q85)))</formula>
    </cfRule>
    <cfRule type="containsText" dxfId="1116" priority="1532" operator="containsText" text="RIESGO MODERADO">
      <formula>NOT(ISERROR(SEARCH("RIESGO MODERADO",Q85)))</formula>
    </cfRule>
    <cfRule type="containsText" dxfId="1115" priority="1533" operator="containsText" text="RIESGO BAJO">
      <formula>NOT(ISERROR(SEARCH("RIESGO BAJO",Q85)))</formula>
    </cfRule>
  </conditionalFormatting>
  <conditionalFormatting sqref="AZ85:BA85 AZ86">
    <cfRule type="containsText" dxfId="1114" priority="1526" operator="containsText" text="RIESGO EXTREMO">
      <formula>NOT(ISERROR(SEARCH("RIESGO EXTREMO",AZ85)))</formula>
    </cfRule>
    <cfRule type="containsText" dxfId="1113" priority="1527" operator="containsText" text="RIESGO ALTO">
      <formula>NOT(ISERROR(SEARCH("RIESGO ALTO",AZ85)))</formula>
    </cfRule>
    <cfRule type="containsText" dxfId="1112" priority="1528" operator="containsText" text="RIESGO MODERADO">
      <formula>NOT(ISERROR(SEARCH("RIESGO MODERADO",AZ85)))</formula>
    </cfRule>
    <cfRule type="containsText" dxfId="1111" priority="1529" operator="containsText" text="RIESGO BAJO">
      <formula>NOT(ISERROR(SEARCH("RIESGO BAJO",AZ85)))</formula>
    </cfRule>
  </conditionalFormatting>
  <conditionalFormatting sqref="BH85:BI86 BG85 BJ85">
    <cfRule type="containsText" dxfId="1110" priority="1521" operator="containsText" text="RIESGO EXTREMO">
      <formula>NOT(ISERROR(SEARCH("RIESGO EXTREMO",BG85)))</formula>
    </cfRule>
    <cfRule type="containsText" dxfId="1109" priority="1522" operator="containsText" text="RIESGO ALTO">
      <formula>NOT(ISERROR(SEARCH("RIESGO ALTO",BG85)))</formula>
    </cfRule>
    <cfRule type="containsText" dxfId="1108" priority="1523" operator="containsText" text="RIESGO MODERADO">
      <formula>NOT(ISERROR(SEARCH("RIESGO MODERADO",BG85)))</formula>
    </cfRule>
    <cfRule type="containsText" dxfId="1107" priority="1524" operator="containsText" text="RIESGO BAJO">
      <formula>NOT(ISERROR(SEARCH("RIESGO BAJO",BG85)))</formula>
    </cfRule>
  </conditionalFormatting>
  <conditionalFormatting sqref="BE85:BE86">
    <cfRule type="containsText" dxfId="1106" priority="1517" operator="containsText" text="RIESGO EXTREMO">
      <formula>NOT(ISERROR(SEARCH("RIESGO EXTREMO",BE85)))</formula>
    </cfRule>
    <cfRule type="containsText" dxfId="1105" priority="1518" operator="containsText" text="RIESGO ALTO">
      <formula>NOT(ISERROR(SEARCH("RIESGO ALTO",BE85)))</formula>
    </cfRule>
    <cfRule type="containsText" dxfId="1104" priority="1519" operator="containsText" text="RIESGO MODERADO">
      <formula>NOT(ISERROR(SEARCH("RIESGO MODERADO",BE85)))</formula>
    </cfRule>
    <cfRule type="containsText" dxfId="1103" priority="1520" operator="containsText" text="RIESGO BAJO">
      <formula>NOT(ISERROR(SEARCH("RIESGO BAJO",BE85)))</formula>
    </cfRule>
  </conditionalFormatting>
  <conditionalFormatting sqref="BD85">
    <cfRule type="containsText" dxfId="1102" priority="1513" operator="containsText" text="RIESGO EXTREMO">
      <formula>NOT(ISERROR(SEARCH("RIESGO EXTREMO",BD85)))</formula>
    </cfRule>
    <cfRule type="containsText" dxfId="1101" priority="1514" operator="containsText" text="RIESGO ALTO">
      <formula>NOT(ISERROR(SEARCH("RIESGO ALTO",BD85)))</formula>
    </cfRule>
    <cfRule type="containsText" dxfId="1100" priority="1515" operator="containsText" text="RIESGO MODERADO">
      <formula>NOT(ISERROR(SEARCH("RIESGO MODERADO",BD85)))</formula>
    </cfRule>
    <cfRule type="containsText" dxfId="1099" priority="1516" operator="containsText" text="RIESGO BAJO">
      <formula>NOT(ISERROR(SEARCH("RIESGO BAJO",BD85)))</formula>
    </cfRule>
  </conditionalFormatting>
  <conditionalFormatting sqref="BD86">
    <cfRule type="containsText" dxfId="1098" priority="1509" operator="containsText" text="RIESGO EXTREMO">
      <formula>NOT(ISERROR(SEARCH("RIESGO EXTREMO",BD86)))</formula>
    </cfRule>
    <cfRule type="containsText" dxfId="1097" priority="1510" operator="containsText" text="RIESGO ALTO">
      <formula>NOT(ISERROR(SEARCH("RIESGO ALTO",BD86)))</formula>
    </cfRule>
    <cfRule type="containsText" dxfId="1096" priority="1511" operator="containsText" text="RIESGO MODERADO">
      <formula>NOT(ISERROR(SEARCH("RIESGO MODERADO",BD86)))</formula>
    </cfRule>
    <cfRule type="containsText" dxfId="1095" priority="1512" operator="containsText" text="RIESGO BAJO">
      <formula>NOT(ISERROR(SEARCH("RIESGO BAJO",BD86)))</formula>
    </cfRule>
  </conditionalFormatting>
  <conditionalFormatting sqref="J87:J90">
    <cfRule type="expression" dxfId="1094" priority="1508">
      <formula>EXACT(F87,"Seguridad_de_la_informacion")</formula>
    </cfRule>
  </conditionalFormatting>
  <conditionalFormatting sqref="Q87:Q89">
    <cfRule type="containsText" dxfId="1093" priority="1504" operator="containsText" text="RIESGO EXTREMO">
      <formula>NOT(ISERROR(SEARCH("RIESGO EXTREMO",Q87)))</formula>
    </cfRule>
    <cfRule type="containsText" dxfId="1092" priority="1505" operator="containsText" text="RIESGO ALTO">
      <formula>NOT(ISERROR(SEARCH("RIESGO ALTO",Q87)))</formula>
    </cfRule>
    <cfRule type="containsText" dxfId="1091" priority="1506" operator="containsText" text="RIESGO MODERADO">
      <formula>NOT(ISERROR(SEARCH("RIESGO MODERADO",Q87)))</formula>
    </cfRule>
    <cfRule type="containsText" dxfId="1090" priority="1507" operator="containsText" text="RIESGO BAJO">
      <formula>NOT(ISERROR(SEARCH("RIESGO BAJO",Q87)))</formula>
    </cfRule>
  </conditionalFormatting>
  <conditionalFormatting sqref="AZ87:BA87 AZ88:AZ89">
    <cfRule type="containsText" dxfId="1089" priority="1500" operator="containsText" text="RIESGO EXTREMO">
      <formula>NOT(ISERROR(SEARCH("RIESGO EXTREMO",AZ87)))</formula>
    </cfRule>
    <cfRule type="containsText" dxfId="1088" priority="1501" operator="containsText" text="RIESGO ALTO">
      <formula>NOT(ISERROR(SEARCH("RIESGO ALTO",AZ87)))</formula>
    </cfRule>
    <cfRule type="containsText" dxfId="1087" priority="1502" operator="containsText" text="RIESGO MODERADO">
      <formula>NOT(ISERROR(SEARCH("RIESGO MODERADO",AZ87)))</formula>
    </cfRule>
    <cfRule type="containsText" dxfId="1086" priority="1503" operator="containsText" text="RIESGO BAJO">
      <formula>NOT(ISERROR(SEARCH("RIESGO BAJO",AZ87)))</formula>
    </cfRule>
  </conditionalFormatting>
  <conditionalFormatting sqref="I87:I88">
    <cfRule type="expression" dxfId="1085" priority="1499">
      <formula>EXACT(F87,"Seguridad_de_la_informacion")</formula>
    </cfRule>
  </conditionalFormatting>
  <conditionalFormatting sqref="BB90 BE90">
    <cfRule type="containsText" dxfId="1084" priority="1495" operator="containsText" text="RIESGO EXTREMO">
      <formula>NOT(ISERROR(SEARCH("RIESGO EXTREMO",BB90)))</formula>
    </cfRule>
    <cfRule type="containsText" dxfId="1083" priority="1496" operator="containsText" text="RIESGO ALTO">
      <formula>NOT(ISERROR(SEARCH("RIESGO ALTO",BB90)))</formula>
    </cfRule>
    <cfRule type="containsText" dxfId="1082" priority="1497" operator="containsText" text="RIESGO MODERADO">
      <formula>NOT(ISERROR(SEARCH("RIESGO MODERADO",BB90)))</formula>
    </cfRule>
    <cfRule type="containsText" dxfId="1081" priority="1498" operator="containsText" text="RIESGO BAJO">
      <formula>NOT(ISERROR(SEARCH("RIESGO BAJO",BB90)))</formula>
    </cfRule>
  </conditionalFormatting>
  <conditionalFormatting sqref="BH88">
    <cfRule type="containsText" dxfId="1080" priority="1491" operator="containsText" text="RIESGO EXTREMO">
      <formula>NOT(ISERROR(SEARCH("RIESGO EXTREMO",BH88)))</formula>
    </cfRule>
    <cfRule type="containsText" dxfId="1079" priority="1492" operator="containsText" text="RIESGO ALTO">
      <formula>NOT(ISERROR(SEARCH("RIESGO ALTO",BH88)))</formula>
    </cfRule>
    <cfRule type="containsText" dxfId="1078" priority="1493" operator="containsText" text="RIESGO MODERADO">
      <formula>NOT(ISERROR(SEARCH("RIESGO MODERADO",BH88)))</formula>
    </cfRule>
    <cfRule type="containsText" dxfId="1077" priority="1494" operator="containsText" text="RIESGO BAJO">
      <formula>NOT(ISERROR(SEARCH("RIESGO BAJO",BH88)))</formula>
    </cfRule>
  </conditionalFormatting>
  <conditionalFormatting sqref="BI88">
    <cfRule type="containsText" dxfId="1076" priority="1487" operator="containsText" text="RIESGO EXTREMO">
      <formula>NOT(ISERROR(SEARCH("RIESGO EXTREMO",BI88)))</formula>
    </cfRule>
    <cfRule type="containsText" dxfId="1075" priority="1488" operator="containsText" text="RIESGO ALTO">
      <formula>NOT(ISERROR(SEARCH("RIESGO ALTO",BI88)))</formula>
    </cfRule>
    <cfRule type="containsText" dxfId="1074" priority="1489" operator="containsText" text="RIESGO MODERADO">
      <formula>NOT(ISERROR(SEARCH("RIESGO MODERADO",BI88)))</formula>
    </cfRule>
    <cfRule type="containsText" dxfId="1073" priority="1490" operator="containsText" text="RIESGO BAJO">
      <formula>NOT(ISERROR(SEARCH("RIESGO BAJO",BI88)))</formula>
    </cfRule>
  </conditionalFormatting>
  <conditionalFormatting sqref="BJ88">
    <cfRule type="containsText" dxfId="1072" priority="1483" operator="containsText" text="RIESGO EXTREMO">
      <formula>NOT(ISERROR(SEARCH("RIESGO EXTREMO",BJ88)))</formula>
    </cfRule>
    <cfRule type="containsText" dxfId="1071" priority="1484" operator="containsText" text="RIESGO ALTO">
      <formula>NOT(ISERROR(SEARCH("RIESGO ALTO",BJ88)))</formula>
    </cfRule>
    <cfRule type="containsText" dxfId="1070" priority="1485" operator="containsText" text="RIESGO MODERADO">
      <formula>NOT(ISERROR(SEARCH("RIESGO MODERADO",BJ88)))</formula>
    </cfRule>
    <cfRule type="containsText" dxfId="1069" priority="1486" operator="containsText" text="RIESGO BAJO">
      <formula>NOT(ISERROR(SEARCH("RIESGO BAJO",BJ88)))</formula>
    </cfRule>
  </conditionalFormatting>
  <conditionalFormatting sqref="BE87:BE89">
    <cfRule type="containsText" dxfId="1068" priority="1479" operator="containsText" text="RIESGO EXTREMO">
      <formula>NOT(ISERROR(SEARCH("RIESGO EXTREMO",BE87)))</formula>
    </cfRule>
    <cfRule type="containsText" dxfId="1067" priority="1480" operator="containsText" text="RIESGO ALTO">
      <formula>NOT(ISERROR(SEARCH("RIESGO ALTO",BE87)))</formula>
    </cfRule>
    <cfRule type="containsText" dxfId="1066" priority="1481" operator="containsText" text="RIESGO MODERADO">
      <formula>NOT(ISERROR(SEARCH("RIESGO MODERADO",BE87)))</formula>
    </cfRule>
    <cfRule type="containsText" dxfId="1065" priority="1482" operator="containsText" text="RIESGO BAJO">
      <formula>NOT(ISERROR(SEARCH("RIESGO BAJO",BE87)))</formula>
    </cfRule>
  </conditionalFormatting>
  <conditionalFormatting sqref="BH87">
    <cfRule type="containsText" dxfId="1064" priority="1475" operator="containsText" text="RIESGO EXTREMO">
      <formula>NOT(ISERROR(SEARCH("RIESGO EXTREMO",BH87)))</formula>
    </cfRule>
    <cfRule type="containsText" dxfId="1063" priority="1476" operator="containsText" text="RIESGO ALTO">
      <formula>NOT(ISERROR(SEARCH("RIESGO ALTO",BH87)))</formula>
    </cfRule>
    <cfRule type="containsText" dxfId="1062" priority="1477" operator="containsText" text="RIESGO MODERADO">
      <formula>NOT(ISERROR(SEARCH("RIESGO MODERADO",BH87)))</formula>
    </cfRule>
    <cfRule type="containsText" dxfId="1061" priority="1478" operator="containsText" text="RIESGO BAJO">
      <formula>NOT(ISERROR(SEARCH("RIESGO BAJO",BH87)))</formula>
    </cfRule>
  </conditionalFormatting>
  <conditionalFormatting sqref="BI87">
    <cfRule type="containsText" dxfId="1060" priority="1471" operator="containsText" text="RIESGO EXTREMO">
      <formula>NOT(ISERROR(SEARCH("RIESGO EXTREMO",BI87)))</formula>
    </cfRule>
    <cfRule type="containsText" dxfId="1059" priority="1472" operator="containsText" text="RIESGO ALTO">
      <formula>NOT(ISERROR(SEARCH("RIESGO ALTO",BI87)))</formula>
    </cfRule>
    <cfRule type="containsText" dxfId="1058" priority="1473" operator="containsText" text="RIESGO MODERADO">
      <formula>NOT(ISERROR(SEARCH("RIESGO MODERADO",BI87)))</formula>
    </cfRule>
    <cfRule type="containsText" dxfId="1057" priority="1474" operator="containsText" text="RIESGO BAJO">
      <formula>NOT(ISERROR(SEARCH("RIESGO BAJO",BI87)))</formula>
    </cfRule>
  </conditionalFormatting>
  <conditionalFormatting sqref="BJ87">
    <cfRule type="containsText" dxfId="1056" priority="1467" operator="containsText" text="RIESGO EXTREMO">
      <formula>NOT(ISERROR(SEARCH("RIESGO EXTREMO",BJ87)))</formula>
    </cfRule>
    <cfRule type="containsText" dxfId="1055" priority="1468" operator="containsText" text="RIESGO ALTO">
      <formula>NOT(ISERROR(SEARCH("RIESGO ALTO",BJ87)))</formula>
    </cfRule>
    <cfRule type="containsText" dxfId="1054" priority="1469" operator="containsText" text="RIESGO MODERADO">
      <formula>NOT(ISERROR(SEARCH("RIESGO MODERADO",BJ87)))</formula>
    </cfRule>
    <cfRule type="containsText" dxfId="1053" priority="1470" operator="containsText" text="RIESGO BAJO">
      <formula>NOT(ISERROR(SEARCH("RIESGO BAJO",BJ87)))</formula>
    </cfRule>
  </conditionalFormatting>
  <conditionalFormatting sqref="BD87">
    <cfRule type="containsText" dxfId="1052" priority="1463" operator="containsText" text="RIESGO EXTREMO">
      <formula>NOT(ISERROR(SEARCH("RIESGO EXTREMO",BD87)))</formula>
    </cfRule>
    <cfRule type="containsText" dxfId="1051" priority="1464" operator="containsText" text="RIESGO ALTO">
      <formula>NOT(ISERROR(SEARCH("RIESGO ALTO",BD87)))</formula>
    </cfRule>
    <cfRule type="containsText" dxfId="1050" priority="1465" operator="containsText" text="RIESGO MODERADO">
      <formula>NOT(ISERROR(SEARCH("RIESGO MODERADO",BD87)))</formula>
    </cfRule>
    <cfRule type="containsText" dxfId="1049" priority="1466" operator="containsText" text="RIESGO BAJO">
      <formula>NOT(ISERROR(SEARCH("RIESGO BAJO",BD87)))</formula>
    </cfRule>
  </conditionalFormatting>
  <conditionalFormatting sqref="BD88">
    <cfRule type="containsText" dxfId="1048" priority="1459" operator="containsText" text="RIESGO EXTREMO">
      <formula>NOT(ISERROR(SEARCH("RIESGO EXTREMO",BD88)))</formula>
    </cfRule>
    <cfRule type="containsText" dxfId="1047" priority="1460" operator="containsText" text="RIESGO ALTO">
      <formula>NOT(ISERROR(SEARCH("RIESGO ALTO",BD88)))</formula>
    </cfRule>
    <cfRule type="containsText" dxfId="1046" priority="1461" operator="containsText" text="RIESGO MODERADO">
      <formula>NOT(ISERROR(SEARCH("RIESGO MODERADO",BD88)))</formula>
    </cfRule>
    <cfRule type="containsText" dxfId="1045" priority="1462" operator="containsText" text="RIESGO BAJO">
      <formula>NOT(ISERROR(SEARCH("RIESGO BAJO",BD88)))</formula>
    </cfRule>
  </conditionalFormatting>
  <conditionalFormatting sqref="BD89">
    <cfRule type="containsText" dxfId="1044" priority="1455" operator="containsText" text="RIESGO EXTREMO">
      <formula>NOT(ISERROR(SEARCH("RIESGO EXTREMO",BD89)))</formula>
    </cfRule>
    <cfRule type="containsText" dxfId="1043" priority="1456" operator="containsText" text="RIESGO ALTO">
      <formula>NOT(ISERROR(SEARCH("RIESGO ALTO",BD89)))</formula>
    </cfRule>
    <cfRule type="containsText" dxfId="1042" priority="1457" operator="containsText" text="RIESGO MODERADO">
      <formula>NOT(ISERROR(SEARCH("RIESGO MODERADO",BD89)))</formula>
    </cfRule>
    <cfRule type="containsText" dxfId="1041" priority="1458" operator="containsText" text="RIESGO BAJO">
      <formula>NOT(ISERROR(SEARCH("RIESGO BAJO",BD89)))</formula>
    </cfRule>
  </conditionalFormatting>
  <conditionalFormatting sqref="Q91">
    <cfRule type="containsText" dxfId="1040" priority="1451" operator="containsText" text="RIESGO EXTREMO">
      <formula>NOT(ISERROR(SEARCH("RIESGO EXTREMO",Q91)))</formula>
    </cfRule>
    <cfRule type="containsText" dxfId="1039" priority="1452" operator="containsText" text="RIESGO ALTO">
      <formula>NOT(ISERROR(SEARCH("RIESGO ALTO",Q91)))</formula>
    </cfRule>
    <cfRule type="containsText" dxfId="1038" priority="1453" operator="containsText" text="RIESGO MODERADO">
      <formula>NOT(ISERROR(SEARCH("RIESGO MODERADO",Q91)))</formula>
    </cfRule>
    <cfRule type="containsText" dxfId="1037" priority="1454" operator="containsText" text="RIESGO BAJO">
      <formula>NOT(ISERROR(SEARCH("RIESGO BAJO",Q91)))</formula>
    </cfRule>
  </conditionalFormatting>
  <conditionalFormatting sqref="AZ91:BA91">
    <cfRule type="containsText" dxfId="1036" priority="1445" operator="containsText" text="RIESGO EXTREMO">
      <formula>NOT(ISERROR(SEARCH("RIESGO EXTREMO",AZ91)))</formula>
    </cfRule>
    <cfRule type="containsText" dxfId="1035" priority="1446" operator="containsText" text="RIESGO ALTO">
      <formula>NOT(ISERROR(SEARCH("RIESGO ALTO",AZ91)))</formula>
    </cfRule>
    <cfRule type="containsText" dxfId="1034" priority="1447" operator="containsText" text="RIESGO MODERADO">
      <formula>NOT(ISERROR(SEARCH("RIESGO MODERADO",AZ91)))</formula>
    </cfRule>
    <cfRule type="containsText" dxfId="1033" priority="1448" operator="containsText" text="RIESGO BAJO">
      <formula>NOT(ISERROR(SEARCH("RIESGO BAJO",AZ91)))</formula>
    </cfRule>
  </conditionalFormatting>
  <conditionalFormatting sqref="BB91 BE91">
    <cfRule type="containsText" dxfId="1032" priority="1441" operator="containsText" text="RIESGO EXTREMO">
      <formula>NOT(ISERROR(SEARCH("RIESGO EXTREMO",BB91)))</formula>
    </cfRule>
    <cfRule type="containsText" dxfId="1031" priority="1442" operator="containsText" text="RIESGO ALTO">
      <formula>NOT(ISERROR(SEARCH("RIESGO ALTO",BB91)))</formula>
    </cfRule>
    <cfRule type="containsText" dxfId="1030" priority="1443" operator="containsText" text="RIESGO MODERADO">
      <formula>NOT(ISERROR(SEARCH("RIESGO MODERADO",BB91)))</formula>
    </cfRule>
    <cfRule type="containsText" dxfId="1029" priority="1444" operator="containsText" text="RIESGO BAJO">
      <formula>NOT(ISERROR(SEARCH("RIESGO BAJO",BB91)))</formula>
    </cfRule>
  </conditionalFormatting>
  <conditionalFormatting sqref="BB91:BE91">
    <cfRule type="containsText" dxfId="1028" priority="1437" operator="containsText" text="RIESGO EXTREMO">
      <formula>NOT(ISERROR(SEARCH("RIESGO EXTREMO",BB91)))</formula>
    </cfRule>
    <cfRule type="containsText" dxfId="1027" priority="1438" operator="containsText" text="RIESGO ALTO">
      <formula>NOT(ISERROR(SEARCH("RIESGO ALTO",BB91)))</formula>
    </cfRule>
    <cfRule type="containsText" dxfId="1026" priority="1439" operator="containsText" text="RIESGO MODERADO">
      <formula>NOT(ISERROR(SEARCH("RIESGO MODERADO",BB91)))</formula>
    </cfRule>
    <cfRule type="containsText" dxfId="1025" priority="1440" operator="containsText" text="RIESGO BAJO">
      <formula>NOT(ISERROR(SEARCH("RIESGO BAJO",BB91)))</formula>
    </cfRule>
  </conditionalFormatting>
  <conditionalFormatting sqref="BJ91 BG91:BH91">
    <cfRule type="containsText" dxfId="1024" priority="1433" operator="containsText" text="RIESGO EXTREMO">
      <formula>NOT(ISERROR(SEARCH("RIESGO EXTREMO",BG91)))</formula>
    </cfRule>
    <cfRule type="containsText" dxfId="1023" priority="1434" operator="containsText" text="RIESGO ALTO">
      <formula>NOT(ISERROR(SEARCH("RIESGO ALTO",BG91)))</formula>
    </cfRule>
    <cfRule type="containsText" dxfId="1022" priority="1435" operator="containsText" text="RIESGO MODERADO">
      <formula>NOT(ISERROR(SEARCH("RIESGO MODERADO",BG91)))</formula>
    </cfRule>
    <cfRule type="containsText" dxfId="1021" priority="1436" operator="containsText" text="RIESGO BAJO">
      <formula>NOT(ISERROR(SEARCH("RIESGO BAJO",BG91)))</formula>
    </cfRule>
  </conditionalFormatting>
  <conditionalFormatting sqref="BI91">
    <cfRule type="containsText" dxfId="1020" priority="1429" operator="containsText" text="RIESGO EXTREMO">
      <formula>NOT(ISERROR(SEARCH("RIESGO EXTREMO",BI91)))</formula>
    </cfRule>
    <cfRule type="containsText" dxfId="1019" priority="1430" operator="containsText" text="RIESGO ALTO">
      <formula>NOT(ISERROR(SEARCH("RIESGO ALTO",BI91)))</formula>
    </cfRule>
    <cfRule type="containsText" dxfId="1018" priority="1431" operator="containsText" text="RIESGO MODERADO">
      <formula>NOT(ISERROR(SEARCH("RIESGO MODERADO",BI91)))</formula>
    </cfRule>
    <cfRule type="containsText" dxfId="1017" priority="1432" operator="containsText" text="RIESGO BAJO">
      <formula>NOT(ISERROR(SEARCH("RIESGO BAJO",BI91)))</formula>
    </cfRule>
  </conditionalFormatting>
  <conditionalFormatting sqref="AZ128:BA128 AZ129:AZ130">
    <cfRule type="containsText" dxfId="1016" priority="973" operator="containsText" text="RIESGO EXTREMO">
      <formula>NOT(ISERROR(SEARCH("RIESGO EXTREMO",AZ128)))</formula>
    </cfRule>
    <cfRule type="containsText" dxfId="1015" priority="974" operator="containsText" text="RIESGO ALTO">
      <formula>NOT(ISERROR(SEARCH("RIESGO ALTO",AZ128)))</formula>
    </cfRule>
    <cfRule type="containsText" dxfId="1014" priority="975" operator="containsText" text="RIESGO MODERADO">
      <formula>NOT(ISERROR(SEARCH("RIESGO MODERADO",AZ128)))</formula>
    </cfRule>
    <cfRule type="containsText" dxfId="1013" priority="976" operator="containsText" text="RIESGO BAJO">
      <formula>NOT(ISERROR(SEARCH("RIESGO BAJO",AZ128)))</formula>
    </cfRule>
  </conditionalFormatting>
  <conditionalFormatting sqref="I128:I129">
    <cfRule type="expression" dxfId="1012" priority="972">
      <formula>EXACT(F128,"Seguridad_de_la_informacion")</formula>
    </cfRule>
  </conditionalFormatting>
  <conditionalFormatting sqref="J128:J131">
    <cfRule type="expression" dxfId="1011" priority="971">
      <formula>EXACT(F128,"Seguridad_de_la_informacion")</formula>
    </cfRule>
  </conditionalFormatting>
  <conditionalFormatting sqref="BC129:BD129 BB129:BB131 BE129:BE131">
    <cfRule type="containsText" dxfId="1010" priority="967" operator="containsText" text="RIESGO EXTREMO">
      <formula>NOT(ISERROR(SEARCH("RIESGO EXTREMO",BB129)))</formula>
    </cfRule>
    <cfRule type="containsText" dxfId="1009" priority="968" operator="containsText" text="RIESGO ALTO">
      <formula>NOT(ISERROR(SEARCH("RIESGO ALTO",BB129)))</formula>
    </cfRule>
    <cfRule type="containsText" dxfId="1008" priority="969" operator="containsText" text="RIESGO MODERADO">
      <formula>NOT(ISERROR(SEARCH("RIESGO MODERADO",BB129)))</formula>
    </cfRule>
    <cfRule type="containsText" dxfId="1007" priority="970" operator="containsText" text="RIESGO BAJO">
      <formula>NOT(ISERROR(SEARCH("RIESGO BAJO",BB129)))</formula>
    </cfRule>
  </conditionalFormatting>
  <conditionalFormatting sqref="BH124:BI125 BG124 BJ124">
    <cfRule type="containsText" dxfId="1006" priority="981" operator="containsText" text="RIESGO EXTREMO">
      <formula>NOT(ISERROR(SEARCH("RIESGO EXTREMO",BG124)))</formula>
    </cfRule>
    <cfRule type="containsText" dxfId="1005" priority="982" operator="containsText" text="RIESGO ALTO">
      <formula>NOT(ISERROR(SEARCH("RIESGO ALTO",BG124)))</formula>
    </cfRule>
    <cfRule type="containsText" dxfId="1004" priority="983" operator="containsText" text="RIESGO MODERADO">
      <formula>NOT(ISERROR(SEARCH("RIESGO MODERADO",BG124)))</formula>
    </cfRule>
    <cfRule type="containsText" dxfId="1003" priority="984" operator="containsText" text="RIESGO BAJO">
      <formula>NOT(ISERROR(SEARCH("RIESGO BAJO",BG124)))</formula>
    </cfRule>
  </conditionalFormatting>
  <conditionalFormatting sqref="BB124:BB127 BE124:BE127 BC124:BD125">
    <cfRule type="containsText" dxfId="1002" priority="985" operator="containsText" text="RIESGO EXTREMO">
      <formula>NOT(ISERROR(SEARCH("RIESGO EXTREMO",BB124)))</formula>
    </cfRule>
    <cfRule type="containsText" dxfId="1001" priority="986" operator="containsText" text="RIESGO ALTO">
      <formula>NOT(ISERROR(SEARCH("RIESGO ALTO",BB124)))</formula>
    </cfRule>
    <cfRule type="containsText" dxfId="1000" priority="987" operator="containsText" text="RIESGO MODERADO">
      <formula>NOT(ISERROR(SEARCH("RIESGO MODERADO",BB124)))</formula>
    </cfRule>
    <cfRule type="containsText" dxfId="999" priority="988" operator="containsText" text="RIESGO BAJO">
      <formula>NOT(ISERROR(SEARCH("RIESGO BAJO",BB124)))</formula>
    </cfRule>
  </conditionalFormatting>
  <conditionalFormatting sqref="AZ124:BA124 AZ125:AZ126">
    <cfRule type="containsText" dxfId="998" priority="991" operator="containsText" text="RIESGO EXTREMO">
      <formula>NOT(ISERROR(SEARCH("RIESGO EXTREMO",AZ124)))</formula>
    </cfRule>
    <cfRule type="containsText" dxfId="997" priority="992" operator="containsText" text="RIESGO ALTO">
      <formula>NOT(ISERROR(SEARCH("RIESGO ALTO",AZ124)))</formula>
    </cfRule>
    <cfRule type="containsText" dxfId="996" priority="993" operator="containsText" text="RIESGO MODERADO">
      <formula>NOT(ISERROR(SEARCH("RIESGO MODERADO",AZ124)))</formula>
    </cfRule>
    <cfRule type="containsText" dxfId="995" priority="994" operator="containsText" text="RIESGO BAJO">
      <formula>NOT(ISERROR(SEARCH("RIESGO BAJO",AZ124)))</formula>
    </cfRule>
  </conditionalFormatting>
  <conditionalFormatting sqref="Q124:Q126">
    <cfRule type="containsText" dxfId="994" priority="995" operator="containsText" text="RIESGO EXTREMO">
      <formula>NOT(ISERROR(SEARCH("RIESGO EXTREMO",Q124)))</formula>
    </cfRule>
    <cfRule type="containsText" dxfId="993" priority="996" operator="containsText" text="RIESGO ALTO">
      <formula>NOT(ISERROR(SEARCH("RIESGO ALTO",Q124)))</formula>
    </cfRule>
    <cfRule type="containsText" dxfId="992" priority="997" operator="containsText" text="RIESGO MODERADO">
      <formula>NOT(ISERROR(SEARCH("RIESGO MODERADO",Q124)))</formula>
    </cfRule>
    <cfRule type="containsText" dxfId="991" priority="998" operator="containsText" text="RIESGO BAJO">
      <formula>NOT(ISERROR(SEARCH("RIESGO BAJO",Q124)))</formula>
    </cfRule>
  </conditionalFormatting>
  <conditionalFormatting sqref="BC120:BD121 BB120:BB123 BE120:BE123">
    <cfRule type="containsText" dxfId="990" priority="1185" operator="containsText" text="RIESGO EXTREMO">
      <formula>NOT(ISERROR(SEARCH("RIESGO EXTREMO",BB120)))</formula>
    </cfRule>
    <cfRule type="containsText" dxfId="989" priority="1186" operator="containsText" text="RIESGO ALTO">
      <formula>NOT(ISERROR(SEARCH("RIESGO ALTO",BB120)))</formula>
    </cfRule>
    <cfRule type="containsText" dxfId="988" priority="1187" operator="containsText" text="RIESGO MODERADO">
      <formula>NOT(ISERROR(SEARCH("RIESGO MODERADO",BB120)))</formula>
    </cfRule>
    <cfRule type="containsText" dxfId="987" priority="1188" operator="containsText" text="RIESGO BAJO">
      <formula>NOT(ISERROR(SEARCH("RIESGO BAJO",BB120)))</formula>
    </cfRule>
  </conditionalFormatting>
  <conditionalFormatting sqref="Q92:Q94">
    <cfRule type="containsText" dxfId="986" priority="1341" operator="containsText" text="RIESGO EXTREMO">
      <formula>NOT(ISERROR(SEARCH("RIESGO EXTREMO",Q92)))</formula>
    </cfRule>
    <cfRule type="containsText" dxfId="985" priority="1342" operator="containsText" text="RIESGO ALTO">
      <formula>NOT(ISERROR(SEARCH("RIESGO ALTO",Q92)))</formula>
    </cfRule>
    <cfRule type="containsText" dxfId="984" priority="1343" operator="containsText" text="RIESGO MODERADO">
      <formula>NOT(ISERROR(SEARCH("RIESGO MODERADO",Q92)))</formula>
    </cfRule>
    <cfRule type="containsText" dxfId="983" priority="1344" operator="containsText" text="RIESGO BAJO">
      <formula>NOT(ISERROR(SEARCH("RIESGO BAJO",Q92)))</formula>
    </cfRule>
  </conditionalFormatting>
  <conditionalFormatting sqref="I92:I93">
    <cfRule type="expression" dxfId="982" priority="1340">
      <formula>EXACT(F92,"Seguridad_de_la_informacion")</formula>
    </cfRule>
  </conditionalFormatting>
  <conditionalFormatting sqref="J92:J95">
    <cfRule type="expression" dxfId="981" priority="1339">
      <formula>EXACT(F92,"Seguridad_de_la_informacion")</formula>
    </cfRule>
  </conditionalFormatting>
  <conditionalFormatting sqref="AZ92:BA92 AZ93:AZ94">
    <cfRule type="containsText" dxfId="980" priority="1335" operator="containsText" text="RIESGO EXTREMO">
      <formula>NOT(ISERROR(SEARCH("RIESGO EXTREMO",AZ92)))</formula>
    </cfRule>
    <cfRule type="containsText" dxfId="979" priority="1336" operator="containsText" text="RIESGO ALTO">
      <formula>NOT(ISERROR(SEARCH("RIESGO ALTO",AZ92)))</formula>
    </cfRule>
    <cfRule type="containsText" dxfId="978" priority="1337" operator="containsText" text="RIESGO MODERADO">
      <formula>NOT(ISERROR(SEARCH("RIESGO MODERADO",AZ92)))</formula>
    </cfRule>
    <cfRule type="containsText" dxfId="977" priority="1338" operator="containsText" text="RIESGO BAJO">
      <formula>NOT(ISERROR(SEARCH("RIESGO BAJO",AZ92)))</formula>
    </cfRule>
  </conditionalFormatting>
  <conditionalFormatting sqref="BC92:BC93 BB92:BB95 BE94:BE95">
    <cfRule type="containsText" dxfId="976" priority="1331" operator="containsText" text="RIESGO EXTREMO">
      <formula>NOT(ISERROR(SEARCH("RIESGO EXTREMO",BB92)))</formula>
    </cfRule>
    <cfRule type="containsText" dxfId="975" priority="1332" operator="containsText" text="RIESGO ALTO">
      <formula>NOT(ISERROR(SEARCH("RIESGO ALTO",BB92)))</formula>
    </cfRule>
    <cfRule type="containsText" dxfId="974" priority="1333" operator="containsText" text="RIESGO MODERADO">
      <formula>NOT(ISERROR(SEARCH("RIESGO MODERADO",BB92)))</formula>
    </cfRule>
    <cfRule type="containsText" dxfId="973" priority="1334" operator="containsText" text="RIESGO BAJO">
      <formula>NOT(ISERROR(SEARCH("RIESGO BAJO",BB92)))</formula>
    </cfRule>
  </conditionalFormatting>
  <conditionalFormatting sqref="BD92:BD93 BE92:BF92 BE93">
    <cfRule type="containsText" dxfId="972" priority="1327" operator="containsText" text="RIESGO EXTREMO">
      <formula>NOT(ISERROR(SEARCH("RIESGO EXTREMO",BD92)))</formula>
    </cfRule>
    <cfRule type="containsText" dxfId="971" priority="1328" operator="containsText" text="RIESGO ALTO">
      <formula>NOT(ISERROR(SEARCH("RIESGO ALTO",BD92)))</formula>
    </cfRule>
    <cfRule type="containsText" dxfId="970" priority="1329" operator="containsText" text="RIESGO MODERADO">
      <formula>NOT(ISERROR(SEARCH("RIESGO MODERADO",BD92)))</formula>
    </cfRule>
    <cfRule type="containsText" dxfId="969" priority="1330" operator="containsText" text="RIESGO BAJO">
      <formula>NOT(ISERROR(SEARCH("RIESGO BAJO",BD92)))</formula>
    </cfRule>
  </conditionalFormatting>
  <conditionalFormatting sqref="BG92 BJ92 BH92:BI93">
    <cfRule type="containsText" dxfId="968" priority="1323" operator="containsText" text="RIESGO EXTREMO">
      <formula>NOT(ISERROR(SEARCH("RIESGO EXTREMO",BG92)))</formula>
    </cfRule>
    <cfRule type="containsText" dxfId="967" priority="1324" operator="containsText" text="RIESGO ALTO">
      <formula>NOT(ISERROR(SEARCH("RIESGO ALTO",BG92)))</formula>
    </cfRule>
    <cfRule type="containsText" dxfId="966" priority="1325" operator="containsText" text="RIESGO MODERADO">
      <formula>NOT(ISERROR(SEARCH("RIESGO MODERADO",BG92)))</formula>
    </cfRule>
    <cfRule type="containsText" dxfId="965" priority="1326" operator="containsText" text="RIESGO BAJO">
      <formula>NOT(ISERROR(SEARCH("RIESGO BAJO",BG92)))</formula>
    </cfRule>
  </conditionalFormatting>
  <conditionalFormatting sqref="Q96:Q98">
    <cfRule type="containsText" dxfId="964" priority="1319" operator="containsText" text="RIESGO EXTREMO">
      <formula>NOT(ISERROR(SEARCH("RIESGO EXTREMO",Q96)))</formula>
    </cfRule>
    <cfRule type="containsText" dxfId="963" priority="1320" operator="containsText" text="RIESGO ALTO">
      <formula>NOT(ISERROR(SEARCH("RIESGO ALTO",Q96)))</formula>
    </cfRule>
    <cfRule type="containsText" dxfId="962" priority="1321" operator="containsText" text="RIESGO MODERADO">
      <formula>NOT(ISERROR(SEARCH("RIESGO MODERADO",Q96)))</formula>
    </cfRule>
    <cfRule type="containsText" dxfId="961" priority="1322" operator="containsText" text="RIESGO BAJO">
      <formula>NOT(ISERROR(SEARCH("RIESGO BAJO",Q96)))</formula>
    </cfRule>
  </conditionalFormatting>
  <conditionalFormatting sqref="I96:I97">
    <cfRule type="expression" dxfId="960" priority="1318">
      <formula>EXACT(F96,"Seguridad_de_la_informacion")</formula>
    </cfRule>
  </conditionalFormatting>
  <conditionalFormatting sqref="J96:J99">
    <cfRule type="expression" dxfId="959" priority="1317">
      <formula>EXACT(F96,"Seguridad_de_la_informacion")</formula>
    </cfRule>
  </conditionalFormatting>
  <conditionalFormatting sqref="AZ96:BA96 AZ97:AZ98">
    <cfRule type="containsText" dxfId="958" priority="1313" operator="containsText" text="RIESGO EXTREMO">
      <formula>NOT(ISERROR(SEARCH("RIESGO EXTREMO",AZ96)))</formula>
    </cfRule>
    <cfRule type="containsText" dxfId="957" priority="1314" operator="containsText" text="RIESGO ALTO">
      <formula>NOT(ISERROR(SEARCH("RIESGO ALTO",AZ96)))</formula>
    </cfRule>
    <cfRule type="containsText" dxfId="956" priority="1315" operator="containsText" text="RIESGO MODERADO">
      <formula>NOT(ISERROR(SEARCH("RIESGO MODERADO",AZ96)))</formula>
    </cfRule>
    <cfRule type="containsText" dxfId="955" priority="1316" operator="containsText" text="RIESGO BAJO">
      <formula>NOT(ISERROR(SEARCH("RIESGO BAJO",AZ96)))</formula>
    </cfRule>
  </conditionalFormatting>
  <conditionalFormatting sqref="BB96:BB99 BC96:BC97 BE99">
    <cfRule type="containsText" dxfId="954" priority="1309" operator="containsText" text="RIESGO EXTREMO">
      <formula>NOT(ISERROR(SEARCH("RIESGO EXTREMO",BB96)))</formula>
    </cfRule>
    <cfRule type="containsText" dxfId="953" priority="1310" operator="containsText" text="RIESGO ALTO">
      <formula>NOT(ISERROR(SEARCH("RIESGO ALTO",BB96)))</formula>
    </cfRule>
    <cfRule type="containsText" dxfId="952" priority="1311" operator="containsText" text="RIESGO MODERADO">
      <formula>NOT(ISERROR(SEARCH("RIESGO MODERADO",BB96)))</formula>
    </cfRule>
    <cfRule type="containsText" dxfId="951" priority="1312" operator="containsText" text="RIESGO BAJO">
      <formula>NOT(ISERROR(SEARCH("RIESGO BAJO",BB96)))</formula>
    </cfRule>
  </conditionalFormatting>
  <conditionalFormatting sqref="BH96:BJ96 BH97">
    <cfRule type="containsText" dxfId="950" priority="1305" operator="containsText" text="RIESGO EXTREMO">
      <formula>NOT(ISERROR(SEARCH("RIESGO EXTREMO",BH96)))</formula>
    </cfRule>
    <cfRule type="containsText" dxfId="949" priority="1306" operator="containsText" text="RIESGO ALTO">
      <formula>NOT(ISERROR(SEARCH("RIESGO ALTO",BH96)))</formula>
    </cfRule>
    <cfRule type="containsText" dxfId="948" priority="1307" operator="containsText" text="RIESGO MODERADO">
      <formula>NOT(ISERROR(SEARCH("RIESGO MODERADO",BH96)))</formula>
    </cfRule>
    <cfRule type="containsText" dxfId="947" priority="1308" operator="containsText" text="RIESGO BAJO">
      <formula>NOT(ISERROR(SEARCH("RIESGO BAJO",BH96)))</formula>
    </cfRule>
  </conditionalFormatting>
  <conditionalFormatting sqref="BD96">
    <cfRule type="containsText" dxfId="946" priority="1301" operator="containsText" text="RIESGO EXTREMO">
      <formula>NOT(ISERROR(SEARCH("RIESGO EXTREMO",BD96)))</formula>
    </cfRule>
    <cfRule type="containsText" dxfId="945" priority="1302" operator="containsText" text="RIESGO ALTO">
      <formula>NOT(ISERROR(SEARCH("RIESGO ALTO",BD96)))</formula>
    </cfRule>
    <cfRule type="containsText" dxfId="944" priority="1303" operator="containsText" text="RIESGO MODERADO">
      <formula>NOT(ISERROR(SEARCH("RIESGO MODERADO",BD96)))</formula>
    </cfRule>
    <cfRule type="containsText" dxfId="943" priority="1304" operator="containsText" text="RIESGO BAJO">
      <formula>NOT(ISERROR(SEARCH("RIESGO BAJO",BD96)))</formula>
    </cfRule>
  </conditionalFormatting>
  <conditionalFormatting sqref="BD97">
    <cfRule type="containsText" dxfId="942" priority="1297" operator="containsText" text="RIESGO EXTREMO">
      <formula>NOT(ISERROR(SEARCH("RIESGO EXTREMO",BD97)))</formula>
    </cfRule>
    <cfRule type="containsText" dxfId="941" priority="1298" operator="containsText" text="RIESGO ALTO">
      <formula>NOT(ISERROR(SEARCH("RIESGO ALTO",BD97)))</formula>
    </cfRule>
    <cfRule type="containsText" dxfId="940" priority="1299" operator="containsText" text="RIESGO MODERADO">
      <formula>NOT(ISERROR(SEARCH("RIESGO MODERADO",BD97)))</formula>
    </cfRule>
    <cfRule type="containsText" dxfId="939" priority="1300" operator="containsText" text="RIESGO BAJO">
      <formula>NOT(ISERROR(SEARCH("RIESGO BAJO",BD97)))</formula>
    </cfRule>
  </conditionalFormatting>
  <conditionalFormatting sqref="BD98">
    <cfRule type="containsText" dxfId="938" priority="1293" operator="containsText" text="RIESGO EXTREMO">
      <formula>NOT(ISERROR(SEARCH("RIESGO EXTREMO",BD98)))</formula>
    </cfRule>
    <cfRule type="containsText" dxfId="937" priority="1294" operator="containsText" text="RIESGO ALTO">
      <formula>NOT(ISERROR(SEARCH("RIESGO ALTO",BD98)))</formula>
    </cfRule>
    <cfRule type="containsText" dxfId="936" priority="1295" operator="containsText" text="RIESGO MODERADO">
      <formula>NOT(ISERROR(SEARCH("RIESGO MODERADO",BD98)))</formula>
    </cfRule>
    <cfRule type="containsText" dxfId="935" priority="1296" operator="containsText" text="RIESGO BAJO">
      <formula>NOT(ISERROR(SEARCH("RIESGO BAJO",BD98)))</formula>
    </cfRule>
  </conditionalFormatting>
  <conditionalFormatting sqref="BI97">
    <cfRule type="containsText" dxfId="934" priority="1289" operator="containsText" text="RIESGO EXTREMO">
      <formula>NOT(ISERROR(SEARCH("RIESGO EXTREMO",BI97)))</formula>
    </cfRule>
    <cfRule type="containsText" dxfId="933" priority="1290" operator="containsText" text="RIESGO ALTO">
      <formula>NOT(ISERROR(SEARCH("RIESGO ALTO",BI97)))</formula>
    </cfRule>
    <cfRule type="containsText" dxfId="932" priority="1291" operator="containsText" text="RIESGO MODERADO">
      <formula>NOT(ISERROR(SEARCH("RIESGO MODERADO",BI97)))</formula>
    </cfRule>
    <cfRule type="containsText" dxfId="931" priority="1292" operator="containsText" text="RIESGO BAJO">
      <formula>NOT(ISERROR(SEARCH("RIESGO BAJO",BI97)))</formula>
    </cfRule>
  </conditionalFormatting>
  <conditionalFormatting sqref="Q100:Q102">
    <cfRule type="containsText" dxfId="930" priority="1285" operator="containsText" text="RIESGO EXTREMO">
      <formula>NOT(ISERROR(SEARCH("RIESGO EXTREMO",Q100)))</formula>
    </cfRule>
    <cfRule type="containsText" dxfId="929" priority="1286" operator="containsText" text="RIESGO ALTO">
      <formula>NOT(ISERROR(SEARCH("RIESGO ALTO",Q100)))</formula>
    </cfRule>
    <cfRule type="containsText" dxfId="928" priority="1287" operator="containsText" text="RIESGO MODERADO">
      <formula>NOT(ISERROR(SEARCH("RIESGO MODERADO",Q100)))</formula>
    </cfRule>
    <cfRule type="containsText" dxfId="927" priority="1288" operator="containsText" text="RIESGO BAJO">
      <formula>NOT(ISERROR(SEARCH("RIESGO BAJO",Q100)))</formula>
    </cfRule>
  </conditionalFormatting>
  <conditionalFormatting sqref="I100:I101">
    <cfRule type="expression" dxfId="926" priority="1284">
      <formula>EXACT(F100,"Seguridad_de_la_informacion")</formula>
    </cfRule>
  </conditionalFormatting>
  <conditionalFormatting sqref="J100:J103">
    <cfRule type="expression" dxfId="925" priority="1283">
      <formula>EXACT(F100,"Seguridad_de_la_informacion")</formula>
    </cfRule>
  </conditionalFormatting>
  <conditionalFormatting sqref="AZ100:BA100 AZ101:AZ102">
    <cfRule type="containsText" dxfId="924" priority="1279" operator="containsText" text="RIESGO EXTREMO">
      <formula>NOT(ISERROR(SEARCH("RIESGO EXTREMO",AZ100)))</formula>
    </cfRule>
    <cfRule type="containsText" dxfId="923" priority="1280" operator="containsText" text="RIESGO ALTO">
      <formula>NOT(ISERROR(SEARCH("RIESGO ALTO",AZ100)))</formula>
    </cfRule>
    <cfRule type="containsText" dxfId="922" priority="1281" operator="containsText" text="RIESGO MODERADO">
      <formula>NOT(ISERROR(SEARCH("RIESGO MODERADO",AZ100)))</formula>
    </cfRule>
    <cfRule type="containsText" dxfId="921" priority="1282" operator="containsText" text="RIESGO BAJO">
      <formula>NOT(ISERROR(SEARCH("RIESGO BAJO",AZ100)))</formula>
    </cfRule>
  </conditionalFormatting>
  <conditionalFormatting sqref="BC100:BD101 BB100:BB103">
    <cfRule type="containsText" dxfId="920" priority="1275" operator="containsText" text="RIESGO EXTREMO">
      <formula>NOT(ISERROR(SEARCH("RIESGO EXTREMO",BB100)))</formula>
    </cfRule>
    <cfRule type="containsText" dxfId="919" priority="1276" operator="containsText" text="RIESGO ALTO">
      <formula>NOT(ISERROR(SEARCH("RIESGO ALTO",BB100)))</formula>
    </cfRule>
    <cfRule type="containsText" dxfId="918" priority="1277" operator="containsText" text="RIESGO MODERADO">
      <formula>NOT(ISERROR(SEARCH("RIESGO MODERADO",BB100)))</formula>
    </cfRule>
    <cfRule type="containsText" dxfId="917" priority="1278" operator="containsText" text="RIESGO BAJO">
      <formula>NOT(ISERROR(SEARCH("RIESGO BAJO",BB100)))</formula>
    </cfRule>
  </conditionalFormatting>
  <conditionalFormatting sqref="BH100:BI101 BG100 BJ100">
    <cfRule type="containsText" dxfId="916" priority="1271" operator="containsText" text="RIESGO EXTREMO">
      <formula>NOT(ISERROR(SEARCH("RIESGO EXTREMO",BG100)))</formula>
    </cfRule>
    <cfRule type="containsText" dxfId="915" priority="1272" operator="containsText" text="RIESGO ALTO">
      <formula>NOT(ISERROR(SEARCH("RIESGO ALTO",BG100)))</formula>
    </cfRule>
    <cfRule type="containsText" dxfId="914" priority="1273" operator="containsText" text="RIESGO MODERADO">
      <formula>NOT(ISERROR(SEARCH("RIESGO MODERADO",BG100)))</formula>
    </cfRule>
    <cfRule type="containsText" dxfId="913" priority="1274" operator="containsText" text="RIESGO BAJO">
      <formula>NOT(ISERROR(SEARCH("RIESGO BAJO",BG100)))</formula>
    </cfRule>
  </conditionalFormatting>
  <conditionalFormatting sqref="Q104:Q106">
    <cfRule type="containsText" dxfId="912" priority="1267" operator="containsText" text="RIESGO EXTREMO">
      <formula>NOT(ISERROR(SEARCH("RIESGO EXTREMO",Q104)))</formula>
    </cfRule>
    <cfRule type="containsText" dxfId="911" priority="1268" operator="containsText" text="RIESGO ALTO">
      <formula>NOT(ISERROR(SEARCH("RIESGO ALTO",Q104)))</formula>
    </cfRule>
    <cfRule type="containsText" dxfId="910" priority="1269" operator="containsText" text="RIESGO MODERADO">
      <formula>NOT(ISERROR(SEARCH("RIESGO MODERADO",Q104)))</formula>
    </cfRule>
    <cfRule type="containsText" dxfId="909" priority="1270" operator="containsText" text="RIESGO BAJO">
      <formula>NOT(ISERROR(SEARCH("RIESGO BAJO",Q104)))</formula>
    </cfRule>
  </conditionalFormatting>
  <conditionalFormatting sqref="I104:I105">
    <cfRule type="expression" dxfId="908" priority="1266">
      <formula>EXACT(F104,"Seguridad_de_la_informacion")</formula>
    </cfRule>
  </conditionalFormatting>
  <conditionalFormatting sqref="J104:J107">
    <cfRule type="expression" dxfId="907" priority="1265">
      <formula>EXACT(F104,"Seguridad_de_la_informacion")</formula>
    </cfRule>
  </conditionalFormatting>
  <conditionalFormatting sqref="AZ104:BA104 AZ105:AZ106">
    <cfRule type="containsText" dxfId="906" priority="1261" operator="containsText" text="RIESGO EXTREMO">
      <formula>NOT(ISERROR(SEARCH("RIESGO EXTREMO",AZ104)))</formula>
    </cfRule>
    <cfRule type="containsText" dxfId="905" priority="1262" operator="containsText" text="RIESGO ALTO">
      <formula>NOT(ISERROR(SEARCH("RIESGO ALTO",AZ104)))</formula>
    </cfRule>
    <cfRule type="containsText" dxfId="904" priority="1263" operator="containsText" text="RIESGO MODERADO">
      <formula>NOT(ISERROR(SEARCH("RIESGO MODERADO",AZ104)))</formula>
    </cfRule>
    <cfRule type="containsText" dxfId="903" priority="1264" operator="containsText" text="RIESGO BAJO">
      <formula>NOT(ISERROR(SEARCH("RIESGO BAJO",AZ104)))</formula>
    </cfRule>
  </conditionalFormatting>
  <conditionalFormatting sqref="BC104:BD105 BB104:BB107 BE107">
    <cfRule type="containsText" dxfId="902" priority="1257" operator="containsText" text="RIESGO EXTREMO">
      <formula>NOT(ISERROR(SEARCH("RIESGO EXTREMO",BB104)))</formula>
    </cfRule>
    <cfRule type="containsText" dxfId="901" priority="1258" operator="containsText" text="RIESGO ALTO">
      <formula>NOT(ISERROR(SEARCH("RIESGO ALTO",BB104)))</formula>
    </cfRule>
    <cfRule type="containsText" dxfId="900" priority="1259" operator="containsText" text="RIESGO MODERADO">
      <formula>NOT(ISERROR(SEARCH("RIESGO MODERADO",BB104)))</formula>
    </cfRule>
    <cfRule type="containsText" dxfId="899" priority="1260" operator="containsText" text="RIESGO BAJO">
      <formula>NOT(ISERROR(SEARCH("RIESGO BAJO",BB104)))</formula>
    </cfRule>
  </conditionalFormatting>
  <conditionalFormatting sqref="BH104:BI105 BG104 BJ104">
    <cfRule type="containsText" dxfId="898" priority="1253" operator="containsText" text="RIESGO EXTREMO">
      <formula>NOT(ISERROR(SEARCH("RIESGO EXTREMO",BG104)))</formula>
    </cfRule>
    <cfRule type="containsText" dxfId="897" priority="1254" operator="containsText" text="RIESGO ALTO">
      <formula>NOT(ISERROR(SEARCH("RIESGO ALTO",BG104)))</formula>
    </cfRule>
    <cfRule type="containsText" dxfId="896" priority="1255" operator="containsText" text="RIESGO MODERADO">
      <formula>NOT(ISERROR(SEARCH("RIESGO MODERADO",BG104)))</formula>
    </cfRule>
    <cfRule type="containsText" dxfId="895" priority="1256" operator="containsText" text="RIESGO BAJO">
      <formula>NOT(ISERROR(SEARCH("RIESGO BAJO",BG104)))</formula>
    </cfRule>
  </conditionalFormatting>
  <conditionalFormatting sqref="Q108:Q110">
    <cfRule type="containsText" dxfId="894" priority="1249" operator="containsText" text="RIESGO EXTREMO">
      <formula>NOT(ISERROR(SEARCH("RIESGO EXTREMO",Q108)))</formula>
    </cfRule>
    <cfRule type="containsText" dxfId="893" priority="1250" operator="containsText" text="RIESGO ALTO">
      <formula>NOT(ISERROR(SEARCH("RIESGO ALTO",Q108)))</formula>
    </cfRule>
    <cfRule type="containsText" dxfId="892" priority="1251" operator="containsText" text="RIESGO MODERADO">
      <formula>NOT(ISERROR(SEARCH("RIESGO MODERADO",Q108)))</formula>
    </cfRule>
    <cfRule type="containsText" dxfId="891" priority="1252" operator="containsText" text="RIESGO BAJO">
      <formula>NOT(ISERROR(SEARCH("RIESGO BAJO",Q108)))</formula>
    </cfRule>
  </conditionalFormatting>
  <conditionalFormatting sqref="I108:I109">
    <cfRule type="expression" dxfId="890" priority="1248">
      <formula>EXACT(F108,"Seguridad_de_la_informacion")</formula>
    </cfRule>
  </conditionalFormatting>
  <conditionalFormatting sqref="J108:J111">
    <cfRule type="expression" dxfId="889" priority="1247">
      <formula>EXACT(F108,"Seguridad_de_la_informacion")</formula>
    </cfRule>
  </conditionalFormatting>
  <conditionalFormatting sqref="AZ108:BA108 AZ109:AZ110">
    <cfRule type="containsText" dxfId="888" priority="1243" operator="containsText" text="RIESGO EXTREMO">
      <formula>NOT(ISERROR(SEARCH("RIESGO EXTREMO",AZ108)))</formula>
    </cfRule>
    <cfRule type="containsText" dxfId="887" priority="1244" operator="containsText" text="RIESGO ALTO">
      <formula>NOT(ISERROR(SEARCH("RIESGO ALTO",AZ108)))</formula>
    </cfRule>
    <cfRule type="containsText" dxfId="886" priority="1245" operator="containsText" text="RIESGO MODERADO">
      <formula>NOT(ISERROR(SEARCH("RIESGO MODERADO",AZ108)))</formula>
    </cfRule>
    <cfRule type="containsText" dxfId="885" priority="1246" operator="containsText" text="RIESGO BAJO">
      <formula>NOT(ISERROR(SEARCH("RIESGO BAJO",AZ108)))</formula>
    </cfRule>
  </conditionalFormatting>
  <conditionalFormatting sqref="BB108:BB111 BC108:BE108 BE109:BE111 BD109 BC109:BC111">
    <cfRule type="containsText" dxfId="884" priority="1239" operator="containsText" text="RIESGO EXTREMO">
      <formula>NOT(ISERROR(SEARCH("RIESGO EXTREMO",BB108)))</formula>
    </cfRule>
    <cfRule type="containsText" dxfId="883" priority="1240" operator="containsText" text="RIESGO ALTO">
      <formula>NOT(ISERROR(SEARCH("RIESGO ALTO",BB108)))</formula>
    </cfRule>
    <cfRule type="containsText" dxfId="882" priority="1241" operator="containsText" text="RIESGO MODERADO">
      <formula>NOT(ISERROR(SEARCH("RIESGO MODERADO",BB108)))</formula>
    </cfRule>
    <cfRule type="containsText" dxfId="881" priority="1242" operator="containsText" text="RIESGO BAJO">
      <formula>NOT(ISERROR(SEARCH("RIESGO BAJO",BB108)))</formula>
    </cfRule>
  </conditionalFormatting>
  <conditionalFormatting sqref="BH108:BI108">
    <cfRule type="containsText" dxfId="880" priority="1235" operator="containsText" text="RIESGO EXTREMO">
      <formula>NOT(ISERROR(SEARCH("RIESGO EXTREMO",BH108)))</formula>
    </cfRule>
    <cfRule type="containsText" dxfId="879" priority="1236" operator="containsText" text="RIESGO ALTO">
      <formula>NOT(ISERROR(SEARCH("RIESGO ALTO",BH108)))</formula>
    </cfRule>
    <cfRule type="containsText" dxfId="878" priority="1237" operator="containsText" text="RIESGO MODERADO">
      <formula>NOT(ISERROR(SEARCH("RIESGO MODERADO",BH108)))</formula>
    </cfRule>
    <cfRule type="containsText" dxfId="877" priority="1238" operator="containsText" text="RIESGO BAJO">
      <formula>NOT(ISERROR(SEARCH("RIESGO BAJO",BH108)))</formula>
    </cfRule>
  </conditionalFormatting>
  <conditionalFormatting sqref="Q112:Q114">
    <cfRule type="containsText" dxfId="876" priority="1231" operator="containsText" text="RIESGO EXTREMO">
      <formula>NOT(ISERROR(SEARCH("RIESGO EXTREMO",Q112)))</formula>
    </cfRule>
    <cfRule type="containsText" dxfId="875" priority="1232" operator="containsText" text="RIESGO ALTO">
      <formula>NOT(ISERROR(SEARCH("RIESGO ALTO",Q112)))</formula>
    </cfRule>
    <cfRule type="containsText" dxfId="874" priority="1233" operator="containsText" text="RIESGO MODERADO">
      <formula>NOT(ISERROR(SEARCH("RIESGO MODERADO",Q112)))</formula>
    </cfRule>
    <cfRule type="containsText" dxfId="873" priority="1234" operator="containsText" text="RIESGO BAJO">
      <formula>NOT(ISERROR(SEARCH("RIESGO BAJO",Q112)))</formula>
    </cfRule>
  </conditionalFormatting>
  <conditionalFormatting sqref="AZ112:BA112 AZ113:AZ114">
    <cfRule type="containsText" dxfId="872" priority="1227" operator="containsText" text="RIESGO EXTREMO">
      <formula>NOT(ISERROR(SEARCH("RIESGO EXTREMO",AZ112)))</formula>
    </cfRule>
    <cfRule type="containsText" dxfId="871" priority="1228" operator="containsText" text="RIESGO ALTO">
      <formula>NOT(ISERROR(SEARCH("RIESGO ALTO",AZ112)))</formula>
    </cfRule>
    <cfRule type="containsText" dxfId="870" priority="1229" operator="containsText" text="RIESGO MODERADO">
      <formula>NOT(ISERROR(SEARCH("RIESGO MODERADO",AZ112)))</formula>
    </cfRule>
    <cfRule type="containsText" dxfId="869" priority="1230" operator="containsText" text="RIESGO BAJO">
      <formula>NOT(ISERROR(SEARCH("RIESGO BAJO",AZ112)))</formula>
    </cfRule>
  </conditionalFormatting>
  <conditionalFormatting sqref="I112:I113">
    <cfRule type="expression" dxfId="868" priority="1226">
      <formula>EXACT(F112,"Seguridad_de_la_informacion")</formula>
    </cfRule>
  </conditionalFormatting>
  <conditionalFormatting sqref="J112:J115">
    <cfRule type="expression" dxfId="867" priority="1225">
      <formula>EXACT(F112,"Seguridad_de_la_informacion")</formula>
    </cfRule>
  </conditionalFormatting>
  <conditionalFormatting sqref="BC112:BD113 BB112:BB115 BE112:BE115">
    <cfRule type="containsText" dxfId="866" priority="1221" operator="containsText" text="RIESGO EXTREMO">
      <formula>NOT(ISERROR(SEARCH("RIESGO EXTREMO",BB112)))</formula>
    </cfRule>
    <cfRule type="containsText" dxfId="865" priority="1222" operator="containsText" text="RIESGO ALTO">
      <formula>NOT(ISERROR(SEARCH("RIESGO ALTO",BB112)))</formula>
    </cfRule>
    <cfRule type="containsText" dxfId="864" priority="1223" operator="containsText" text="RIESGO MODERADO">
      <formula>NOT(ISERROR(SEARCH("RIESGO MODERADO",BB112)))</formula>
    </cfRule>
    <cfRule type="containsText" dxfId="863" priority="1224" operator="containsText" text="RIESGO BAJO">
      <formula>NOT(ISERROR(SEARCH("RIESGO BAJO",BB112)))</formula>
    </cfRule>
  </conditionalFormatting>
  <conditionalFormatting sqref="BH112:BI113 BG112 BJ112">
    <cfRule type="containsText" dxfId="862" priority="1217" operator="containsText" text="RIESGO EXTREMO">
      <formula>NOT(ISERROR(SEARCH("RIESGO EXTREMO",BG112)))</formula>
    </cfRule>
    <cfRule type="containsText" dxfId="861" priority="1218" operator="containsText" text="RIESGO ALTO">
      <formula>NOT(ISERROR(SEARCH("RIESGO ALTO",BG112)))</formula>
    </cfRule>
    <cfRule type="containsText" dxfId="860" priority="1219" operator="containsText" text="RIESGO MODERADO">
      <formula>NOT(ISERROR(SEARCH("RIESGO MODERADO",BG112)))</formula>
    </cfRule>
    <cfRule type="containsText" dxfId="859" priority="1220" operator="containsText" text="RIESGO BAJO">
      <formula>NOT(ISERROR(SEARCH("RIESGO BAJO",BG112)))</formula>
    </cfRule>
  </conditionalFormatting>
  <conditionalFormatting sqref="Q116:Q118">
    <cfRule type="containsText" dxfId="858" priority="1213" operator="containsText" text="RIESGO EXTREMO">
      <formula>NOT(ISERROR(SEARCH("RIESGO EXTREMO",Q116)))</formula>
    </cfRule>
    <cfRule type="containsText" dxfId="857" priority="1214" operator="containsText" text="RIESGO ALTO">
      <formula>NOT(ISERROR(SEARCH("RIESGO ALTO",Q116)))</formula>
    </cfRule>
    <cfRule type="containsText" dxfId="856" priority="1215" operator="containsText" text="RIESGO MODERADO">
      <formula>NOT(ISERROR(SEARCH("RIESGO MODERADO",Q116)))</formula>
    </cfRule>
    <cfRule type="containsText" dxfId="855" priority="1216" operator="containsText" text="RIESGO BAJO">
      <formula>NOT(ISERROR(SEARCH("RIESGO BAJO",Q116)))</formula>
    </cfRule>
  </conditionalFormatting>
  <conditionalFormatting sqref="AZ116:BA116 AZ117:AZ118">
    <cfRule type="containsText" dxfId="854" priority="1209" operator="containsText" text="RIESGO EXTREMO">
      <formula>NOT(ISERROR(SEARCH("RIESGO EXTREMO",AZ116)))</formula>
    </cfRule>
    <cfRule type="containsText" dxfId="853" priority="1210" operator="containsText" text="RIESGO ALTO">
      <formula>NOT(ISERROR(SEARCH("RIESGO ALTO",AZ116)))</formula>
    </cfRule>
    <cfRule type="containsText" dxfId="852" priority="1211" operator="containsText" text="RIESGO MODERADO">
      <formula>NOT(ISERROR(SEARCH("RIESGO MODERADO",AZ116)))</formula>
    </cfRule>
    <cfRule type="containsText" dxfId="851" priority="1212" operator="containsText" text="RIESGO BAJO">
      <formula>NOT(ISERROR(SEARCH("RIESGO BAJO",AZ116)))</formula>
    </cfRule>
  </conditionalFormatting>
  <conditionalFormatting sqref="I116:I117">
    <cfRule type="expression" dxfId="850" priority="1208">
      <formula>EXACT(F116,"Seguridad_de_la_informacion")</formula>
    </cfRule>
  </conditionalFormatting>
  <conditionalFormatting sqref="J116:J119">
    <cfRule type="expression" dxfId="849" priority="1207">
      <formula>EXACT(F116,"Seguridad_de_la_informacion")</formula>
    </cfRule>
  </conditionalFormatting>
  <conditionalFormatting sqref="BC116:BD117 BB116:BB119 BE116:BE119">
    <cfRule type="containsText" dxfId="848" priority="1203" operator="containsText" text="RIESGO EXTREMO">
      <formula>NOT(ISERROR(SEARCH("RIESGO EXTREMO",BB116)))</formula>
    </cfRule>
    <cfRule type="containsText" dxfId="847" priority="1204" operator="containsText" text="RIESGO ALTO">
      <formula>NOT(ISERROR(SEARCH("RIESGO ALTO",BB116)))</formula>
    </cfRule>
    <cfRule type="containsText" dxfId="846" priority="1205" operator="containsText" text="RIESGO MODERADO">
      <formula>NOT(ISERROR(SEARCH("RIESGO MODERADO",BB116)))</formula>
    </cfRule>
    <cfRule type="containsText" dxfId="845" priority="1206" operator="containsText" text="RIESGO BAJO">
      <formula>NOT(ISERROR(SEARCH("RIESGO BAJO",BB116)))</formula>
    </cfRule>
  </conditionalFormatting>
  <conditionalFormatting sqref="BH116:BI117 BG116 BJ116">
    <cfRule type="containsText" dxfId="844" priority="1199" operator="containsText" text="RIESGO EXTREMO">
      <formula>NOT(ISERROR(SEARCH("RIESGO EXTREMO",BG116)))</formula>
    </cfRule>
    <cfRule type="containsText" dxfId="843" priority="1200" operator="containsText" text="RIESGO ALTO">
      <formula>NOT(ISERROR(SEARCH("RIESGO ALTO",BG116)))</formula>
    </cfRule>
    <cfRule type="containsText" dxfId="842" priority="1201" operator="containsText" text="RIESGO MODERADO">
      <formula>NOT(ISERROR(SEARCH("RIESGO MODERADO",BG116)))</formula>
    </cfRule>
    <cfRule type="containsText" dxfId="841" priority="1202" operator="containsText" text="RIESGO BAJO">
      <formula>NOT(ISERROR(SEARCH("RIESGO BAJO",BG116)))</formula>
    </cfRule>
  </conditionalFormatting>
  <conditionalFormatting sqref="Q120:Q122">
    <cfRule type="containsText" dxfId="840" priority="1195" operator="containsText" text="RIESGO EXTREMO">
      <formula>NOT(ISERROR(SEARCH("RIESGO EXTREMO",Q120)))</formula>
    </cfRule>
    <cfRule type="containsText" dxfId="839" priority="1196" operator="containsText" text="RIESGO ALTO">
      <formula>NOT(ISERROR(SEARCH("RIESGO ALTO",Q120)))</formula>
    </cfRule>
    <cfRule type="containsText" dxfId="838" priority="1197" operator="containsText" text="RIESGO MODERADO">
      <formula>NOT(ISERROR(SEARCH("RIESGO MODERADO",Q120)))</formula>
    </cfRule>
    <cfRule type="containsText" dxfId="837" priority="1198" operator="containsText" text="RIESGO BAJO">
      <formula>NOT(ISERROR(SEARCH("RIESGO BAJO",Q120)))</formula>
    </cfRule>
  </conditionalFormatting>
  <conditionalFormatting sqref="AZ120:BA120 AZ121:AZ122">
    <cfRule type="containsText" dxfId="836" priority="1191" operator="containsText" text="RIESGO EXTREMO">
      <formula>NOT(ISERROR(SEARCH("RIESGO EXTREMO",AZ120)))</formula>
    </cfRule>
    <cfRule type="containsText" dxfId="835" priority="1192" operator="containsText" text="RIESGO ALTO">
      <formula>NOT(ISERROR(SEARCH("RIESGO ALTO",AZ120)))</formula>
    </cfRule>
    <cfRule type="containsText" dxfId="834" priority="1193" operator="containsText" text="RIESGO MODERADO">
      <formula>NOT(ISERROR(SEARCH("RIESGO MODERADO",AZ120)))</formula>
    </cfRule>
    <cfRule type="containsText" dxfId="833" priority="1194" operator="containsText" text="RIESGO BAJO">
      <formula>NOT(ISERROR(SEARCH("RIESGO BAJO",AZ120)))</formula>
    </cfRule>
  </conditionalFormatting>
  <conditionalFormatting sqref="I120:I121">
    <cfRule type="expression" dxfId="832" priority="1190">
      <formula>EXACT(F120,"Seguridad_de_la_informacion")</formula>
    </cfRule>
  </conditionalFormatting>
  <conditionalFormatting sqref="J120:J123">
    <cfRule type="expression" dxfId="831" priority="1189">
      <formula>EXACT(F120,"Seguridad_de_la_informacion")</formula>
    </cfRule>
  </conditionalFormatting>
  <conditionalFormatting sqref="BH120:BI121 BG120 BJ120">
    <cfRule type="containsText" dxfId="830" priority="1181" operator="containsText" text="RIESGO EXTREMO">
      <formula>NOT(ISERROR(SEARCH("RIESGO EXTREMO",BG120)))</formula>
    </cfRule>
    <cfRule type="containsText" dxfId="829" priority="1182" operator="containsText" text="RIESGO ALTO">
      <formula>NOT(ISERROR(SEARCH("RIESGO ALTO",BG120)))</formula>
    </cfRule>
    <cfRule type="containsText" dxfId="828" priority="1183" operator="containsText" text="RIESGO MODERADO">
      <formula>NOT(ISERROR(SEARCH("RIESGO MODERADO",BG120)))</formula>
    </cfRule>
    <cfRule type="containsText" dxfId="827" priority="1184" operator="containsText" text="RIESGO BAJO">
      <formula>NOT(ISERROR(SEARCH("RIESGO BAJO",BG120)))</formula>
    </cfRule>
  </conditionalFormatting>
  <conditionalFormatting sqref="Q156:Q158 BB159 BE159">
    <cfRule type="containsText" dxfId="826" priority="1065" operator="containsText" text="RIESGO EXTREMO">
      <formula>NOT(ISERROR(SEARCH("RIESGO EXTREMO",Q156)))</formula>
    </cfRule>
    <cfRule type="containsText" dxfId="825" priority="1066" operator="containsText" text="RIESGO ALTO">
      <formula>NOT(ISERROR(SEARCH("RIESGO ALTO",Q156)))</formula>
    </cfRule>
    <cfRule type="containsText" dxfId="824" priority="1067" operator="containsText" text="RIESGO MODERADO">
      <formula>NOT(ISERROR(SEARCH("RIESGO MODERADO",Q156)))</formula>
    </cfRule>
    <cfRule type="containsText" dxfId="823" priority="1068" operator="containsText" text="RIESGO BAJO">
      <formula>NOT(ISERROR(SEARCH("RIESGO BAJO",Q156)))</formula>
    </cfRule>
  </conditionalFormatting>
  <conditionalFormatting sqref="AZ140:BA140 AZ141:AZ142">
    <cfRule type="containsText" dxfId="822" priority="1129" operator="containsText" text="RIESGO EXTREMO">
      <formula>NOT(ISERROR(SEARCH("RIESGO EXTREMO",AZ140)))</formula>
    </cfRule>
    <cfRule type="containsText" dxfId="821" priority="1130" operator="containsText" text="RIESGO ALTO">
      <formula>NOT(ISERROR(SEARCH("RIESGO ALTO",AZ140)))</formula>
    </cfRule>
    <cfRule type="containsText" dxfId="820" priority="1131" operator="containsText" text="RIESGO MODERADO">
      <formula>NOT(ISERROR(SEARCH("RIESGO MODERADO",AZ140)))</formula>
    </cfRule>
    <cfRule type="containsText" dxfId="819" priority="1132" operator="containsText" text="RIESGO BAJO">
      <formula>NOT(ISERROR(SEARCH("RIESGO BAJO",AZ140)))</formula>
    </cfRule>
  </conditionalFormatting>
  <conditionalFormatting sqref="I156:I157">
    <cfRule type="expression" dxfId="818" priority="1064">
      <formula>EXACT(F156,"Seguridad_de_la_informacion")</formula>
    </cfRule>
  </conditionalFormatting>
  <conditionalFormatting sqref="J156:J159">
    <cfRule type="expression" dxfId="817" priority="1063">
      <formula>EXACT(F156,"Seguridad_de_la_informacion")</formula>
    </cfRule>
  </conditionalFormatting>
  <conditionalFormatting sqref="AZ156:BA156 AZ157:AZ158">
    <cfRule type="containsText" dxfId="816" priority="1059" operator="containsText" text="RIESGO EXTREMO">
      <formula>NOT(ISERROR(SEARCH("RIESGO EXTREMO",AZ156)))</formula>
    </cfRule>
    <cfRule type="containsText" dxfId="815" priority="1060" operator="containsText" text="RIESGO ALTO">
      <formula>NOT(ISERROR(SEARCH("RIESGO ALTO",AZ156)))</formula>
    </cfRule>
    <cfRule type="containsText" dxfId="814" priority="1061" operator="containsText" text="RIESGO MODERADO">
      <formula>NOT(ISERROR(SEARCH("RIESGO MODERADO",AZ156)))</formula>
    </cfRule>
    <cfRule type="containsText" dxfId="813" priority="1062" operator="containsText" text="RIESGO BAJO">
      <formula>NOT(ISERROR(SEARCH("RIESGO BAJO",AZ156)))</formula>
    </cfRule>
  </conditionalFormatting>
  <conditionalFormatting sqref="I124:I125">
    <cfRule type="expression" dxfId="812" priority="990">
      <formula>EXACT(F124,"Seguridad_de_la_informacion")</formula>
    </cfRule>
  </conditionalFormatting>
  <conditionalFormatting sqref="J124:J127">
    <cfRule type="expression" dxfId="811" priority="989">
      <formula>EXACT(F124,"Seguridad_de_la_informacion")</formula>
    </cfRule>
  </conditionalFormatting>
  <conditionalFormatting sqref="Q128:Q130">
    <cfRule type="containsText" dxfId="810" priority="977" operator="containsText" text="RIESGO EXTREMO">
      <formula>NOT(ISERROR(SEARCH("RIESGO EXTREMO",Q128)))</formula>
    </cfRule>
    <cfRule type="containsText" dxfId="809" priority="978" operator="containsText" text="RIESGO ALTO">
      <formula>NOT(ISERROR(SEARCH("RIESGO ALTO",Q128)))</formula>
    </cfRule>
    <cfRule type="containsText" dxfId="808" priority="979" operator="containsText" text="RIESGO MODERADO">
      <formula>NOT(ISERROR(SEARCH("RIESGO MODERADO",Q128)))</formula>
    </cfRule>
    <cfRule type="containsText" dxfId="807" priority="980" operator="containsText" text="RIESGO BAJO">
      <formula>NOT(ISERROR(SEARCH("RIESGO BAJO",Q128)))</formula>
    </cfRule>
  </conditionalFormatting>
  <conditionalFormatting sqref="BH129:BI129">
    <cfRule type="containsText" dxfId="806" priority="963" operator="containsText" text="RIESGO EXTREMO">
      <formula>NOT(ISERROR(SEARCH("RIESGO EXTREMO",BH129)))</formula>
    </cfRule>
    <cfRule type="containsText" dxfId="805" priority="964" operator="containsText" text="RIESGO ALTO">
      <formula>NOT(ISERROR(SEARCH("RIESGO ALTO",BH129)))</formula>
    </cfRule>
    <cfRule type="containsText" dxfId="804" priority="965" operator="containsText" text="RIESGO MODERADO">
      <formula>NOT(ISERROR(SEARCH("RIESGO MODERADO",BH129)))</formula>
    </cfRule>
    <cfRule type="containsText" dxfId="803" priority="966" operator="containsText" text="RIESGO BAJO">
      <formula>NOT(ISERROR(SEARCH("RIESGO BAJO",BH129)))</formula>
    </cfRule>
  </conditionalFormatting>
  <conditionalFormatting sqref="BB128:BF128">
    <cfRule type="containsText" dxfId="802" priority="959" operator="containsText" text="RIESGO EXTREMO">
      <formula>NOT(ISERROR(SEARCH("RIESGO EXTREMO",BB128)))</formula>
    </cfRule>
    <cfRule type="containsText" dxfId="801" priority="960" operator="containsText" text="RIESGO ALTO">
      <formula>NOT(ISERROR(SEARCH("RIESGO ALTO",BB128)))</formula>
    </cfRule>
    <cfRule type="containsText" dxfId="800" priority="961" operator="containsText" text="RIESGO MODERADO">
      <formula>NOT(ISERROR(SEARCH("RIESGO MODERADO",BB128)))</formula>
    </cfRule>
    <cfRule type="containsText" dxfId="799" priority="962" operator="containsText" text="RIESGO BAJO">
      <formula>NOT(ISERROR(SEARCH("RIESGO BAJO",BB128)))</formula>
    </cfRule>
  </conditionalFormatting>
  <conditionalFormatting sqref="BJ128 BG128:BH128">
    <cfRule type="containsText" dxfId="798" priority="955" operator="containsText" text="RIESGO EXTREMO">
      <formula>NOT(ISERROR(SEARCH("RIESGO EXTREMO",BG128)))</formula>
    </cfRule>
    <cfRule type="containsText" dxfId="797" priority="956" operator="containsText" text="RIESGO ALTO">
      <formula>NOT(ISERROR(SEARCH("RIESGO ALTO",BG128)))</formula>
    </cfRule>
    <cfRule type="containsText" dxfId="796" priority="957" operator="containsText" text="RIESGO MODERADO">
      <formula>NOT(ISERROR(SEARCH("RIESGO MODERADO",BG128)))</formula>
    </cfRule>
    <cfRule type="containsText" dxfId="795" priority="958" operator="containsText" text="RIESGO BAJO">
      <formula>NOT(ISERROR(SEARCH("RIESGO BAJO",BG128)))</formula>
    </cfRule>
  </conditionalFormatting>
  <conditionalFormatting sqref="BI128">
    <cfRule type="containsText" dxfId="794" priority="951" operator="containsText" text="RIESGO EXTREMO">
      <formula>NOT(ISERROR(SEARCH("RIESGO EXTREMO",BI128)))</formula>
    </cfRule>
    <cfRule type="containsText" dxfId="793" priority="952" operator="containsText" text="RIESGO ALTO">
      <formula>NOT(ISERROR(SEARCH("RIESGO ALTO",BI128)))</formula>
    </cfRule>
    <cfRule type="containsText" dxfId="792" priority="953" operator="containsText" text="RIESGO MODERADO">
      <formula>NOT(ISERROR(SEARCH("RIESGO MODERADO",BI128)))</formula>
    </cfRule>
    <cfRule type="containsText" dxfId="791" priority="954" operator="containsText" text="RIESGO BAJO">
      <formula>NOT(ISERROR(SEARCH("RIESGO BAJO",BI128)))</formula>
    </cfRule>
  </conditionalFormatting>
  <conditionalFormatting sqref="Q132:Q134">
    <cfRule type="containsText" dxfId="790" priority="947" operator="containsText" text="RIESGO EXTREMO">
      <formula>NOT(ISERROR(SEARCH("RIESGO EXTREMO",Q132)))</formula>
    </cfRule>
    <cfRule type="containsText" dxfId="789" priority="948" operator="containsText" text="RIESGO ALTO">
      <formula>NOT(ISERROR(SEARCH("RIESGO ALTO",Q132)))</formula>
    </cfRule>
    <cfRule type="containsText" dxfId="788" priority="949" operator="containsText" text="RIESGO MODERADO">
      <formula>NOT(ISERROR(SEARCH("RIESGO MODERADO",Q132)))</formula>
    </cfRule>
    <cfRule type="containsText" dxfId="787" priority="950" operator="containsText" text="RIESGO BAJO">
      <formula>NOT(ISERROR(SEARCH("RIESGO BAJO",Q132)))</formula>
    </cfRule>
  </conditionalFormatting>
  <conditionalFormatting sqref="AZ132:BA132 AZ133:AZ134">
    <cfRule type="containsText" dxfId="786" priority="943" operator="containsText" text="RIESGO EXTREMO">
      <formula>NOT(ISERROR(SEARCH("RIESGO EXTREMO",AZ132)))</formula>
    </cfRule>
    <cfRule type="containsText" dxfId="785" priority="944" operator="containsText" text="RIESGO ALTO">
      <formula>NOT(ISERROR(SEARCH("RIESGO ALTO",AZ132)))</formula>
    </cfRule>
    <cfRule type="containsText" dxfId="784" priority="945" operator="containsText" text="RIESGO MODERADO">
      <formula>NOT(ISERROR(SEARCH("RIESGO MODERADO",AZ132)))</formula>
    </cfRule>
    <cfRule type="containsText" dxfId="783" priority="946" operator="containsText" text="RIESGO BAJO">
      <formula>NOT(ISERROR(SEARCH("RIESGO BAJO",AZ132)))</formula>
    </cfRule>
  </conditionalFormatting>
  <conditionalFormatting sqref="I132:I133">
    <cfRule type="expression" dxfId="782" priority="942">
      <formula>EXACT(F132,"Seguridad_de_la_informacion")</formula>
    </cfRule>
  </conditionalFormatting>
  <conditionalFormatting sqref="J132:J135">
    <cfRule type="expression" dxfId="781" priority="941">
      <formula>EXACT(F132,"Seguridad_de_la_informacion")</formula>
    </cfRule>
  </conditionalFormatting>
  <conditionalFormatting sqref="BC133:BD133 BB133:BB135 BE133:BE135">
    <cfRule type="containsText" dxfId="780" priority="937" operator="containsText" text="RIESGO EXTREMO">
      <formula>NOT(ISERROR(SEARCH("RIESGO EXTREMO",BB133)))</formula>
    </cfRule>
    <cfRule type="containsText" dxfId="779" priority="938" operator="containsText" text="RIESGO ALTO">
      <formula>NOT(ISERROR(SEARCH("RIESGO ALTO",BB133)))</formula>
    </cfRule>
    <cfRule type="containsText" dxfId="778" priority="939" operator="containsText" text="RIESGO MODERADO">
      <formula>NOT(ISERROR(SEARCH("RIESGO MODERADO",BB133)))</formula>
    </cfRule>
    <cfRule type="containsText" dxfId="777" priority="940" operator="containsText" text="RIESGO BAJO">
      <formula>NOT(ISERROR(SEARCH("RIESGO BAJO",BB133)))</formula>
    </cfRule>
  </conditionalFormatting>
  <conditionalFormatting sqref="BH133:BI133">
    <cfRule type="containsText" dxfId="776" priority="933" operator="containsText" text="RIESGO EXTREMO">
      <formula>NOT(ISERROR(SEARCH("RIESGO EXTREMO",BH133)))</formula>
    </cfRule>
    <cfRule type="containsText" dxfId="775" priority="934" operator="containsText" text="RIESGO ALTO">
      <formula>NOT(ISERROR(SEARCH("RIESGO ALTO",BH133)))</formula>
    </cfRule>
    <cfRule type="containsText" dxfId="774" priority="935" operator="containsText" text="RIESGO MODERADO">
      <formula>NOT(ISERROR(SEARCH("RIESGO MODERADO",BH133)))</formula>
    </cfRule>
    <cfRule type="containsText" dxfId="773" priority="936" operator="containsText" text="RIESGO BAJO">
      <formula>NOT(ISERROR(SEARCH("RIESGO BAJO",BH133)))</formula>
    </cfRule>
  </conditionalFormatting>
  <conditionalFormatting sqref="BE132">
    <cfRule type="containsText" dxfId="772" priority="929" operator="containsText" text="RIESGO EXTREMO">
      <formula>NOT(ISERROR(SEARCH("RIESGO EXTREMO",BE132)))</formula>
    </cfRule>
    <cfRule type="containsText" dxfId="771" priority="930" operator="containsText" text="RIESGO ALTO">
      <formula>NOT(ISERROR(SEARCH("RIESGO ALTO",BE132)))</formula>
    </cfRule>
    <cfRule type="containsText" dxfId="770" priority="931" operator="containsText" text="RIESGO MODERADO">
      <formula>NOT(ISERROR(SEARCH("RIESGO MODERADO",BE132)))</formula>
    </cfRule>
    <cfRule type="containsText" dxfId="769" priority="932" operator="containsText" text="RIESGO BAJO">
      <formula>NOT(ISERROR(SEARCH("RIESGO BAJO",BE132)))</formula>
    </cfRule>
  </conditionalFormatting>
  <conditionalFormatting sqref="BJ132 BG132:BH132">
    <cfRule type="containsText" dxfId="768" priority="925" operator="containsText" text="RIESGO EXTREMO">
      <formula>NOT(ISERROR(SEARCH("RIESGO EXTREMO",BG132)))</formula>
    </cfRule>
    <cfRule type="containsText" dxfId="767" priority="926" operator="containsText" text="RIESGO ALTO">
      <formula>NOT(ISERROR(SEARCH("RIESGO ALTO",BG132)))</formula>
    </cfRule>
    <cfRule type="containsText" dxfId="766" priority="927" operator="containsText" text="RIESGO MODERADO">
      <formula>NOT(ISERROR(SEARCH("RIESGO MODERADO",BG132)))</formula>
    </cfRule>
    <cfRule type="containsText" dxfId="765" priority="928" operator="containsText" text="RIESGO BAJO">
      <formula>NOT(ISERROR(SEARCH("RIESGO BAJO",BG132)))</formula>
    </cfRule>
  </conditionalFormatting>
  <conditionalFormatting sqref="BB132:BC132">
    <cfRule type="containsText" dxfId="764" priority="921" operator="containsText" text="RIESGO EXTREMO">
      <formula>NOT(ISERROR(SEARCH("RIESGO EXTREMO",BB132)))</formula>
    </cfRule>
    <cfRule type="containsText" dxfId="763" priority="922" operator="containsText" text="RIESGO ALTO">
      <formula>NOT(ISERROR(SEARCH("RIESGO ALTO",BB132)))</formula>
    </cfRule>
    <cfRule type="containsText" dxfId="762" priority="923" operator="containsText" text="RIESGO MODERADO">
      <formula>NOT(ISERROR(SEARCH("RIESGO MODERADO",BB132)))</formula>
    </cfRule>
    <cfRule type="containsText" dxfId="761" priority="924" operator="containsText" text="RIESGO BAJO">
      <formula>NOT(ISERROR(SEARCH("RIESGO BAJO",BB132)))</formula>
    </cfRule>
  </conditionalFormatting>
  <conditionalFormatting sqref="BD132">
    <cfRule type="containsText" dxfId="760" priority="917" operator="containsText" text="RIESGO EXTREMO">
      <formula>NOT(ISERROR(SEARCH("RIESGO EXTREMO",BD132)))</formula>
    </cfRule>
    <cfRule type="containsText" dxfId="759" priority="918" operator="containsText" text="RIESGO ALTO">
      <formula>NOT(ISERROR(SEARCH("RIESGO ALTO",BD132)))</formula>
    </cfRule>
    <cfRule type="containsText" dxfId="758" priority="919" operator="containsText" text="RIESGO MODERADO">
      <formula>NOT(ISERROR(SEARCH("RIESGO MODERADO",BD132)))</formula>
    </cfRule>
    <cfRule type="containsText" dxfId="757" priority="920" operator="containsText" text="RIESGO BAJO">
      <formula>NOT(ISERROR(SEARCH("RIESGO BAJO",BD132)))</formula>
    </cfRule>
  </conditionalFormatting>
  <conditionalFormatting sqref="BI132">
    <cfRule type="containsText" dxfId="756" priority="913" operator="containsText" text="RIESGO EXTREMO">
      <formula>NOT(ISERROR(SEARCH("RIESGO EXTREMO",BI132)))</formula>
    </cfRule>
    <cfRule type="containsText" dxfId="755" priority="914" operator="containsText" text="RIESGO ALTO">
      <formula>NOT(ISERROR(SEARCH("RIESGO ALTO",BI132)))</formula>
    </cfRule>
    <cfRule type="containsText" dxfId="754" priority="915" operator="containsText" text="RIESGO MODERADO">
      <formula>NOT(ISERROR(SEARCH("RIESGO MODERADO",BI132)))</formula>
    </cfRule>
    <cfRule type="containsText" dxfId="753" priority="916" operator="containsText" text="RIESGO BAJO">
      <formula>NOT(ISERROR(SEARCH("RIESGO BAJO",BI132)))</formula>
    </cfRule>
  </conditionalFormatting>
  <conditionalFormatting sqref="Q136:Q138">
    <cfRule type="containsText" dxfId="752" priority="909" operator="containsText" text="RIESGO EXTREMO">
      <formula>NOT(ISERROR(SEARCH("RIESGO EXTREMO",Q136)))</formula>
    </cfRule>
    <cfRule type="containsText" dxfId="751" priority="910" operator="containsText" text="RIESGO ALTO">
      <formula>NOT(ISERROR(SEARCH("RIESGO ALTO",Q136)))</formula>
    </cfRule>
    <cfRule type="containsText" dxfId="750" priority="911" operator="containsText" text="RIESGO MODERADO">
      <formula>NOT(ISERROR(SEARCH("RIESGO MODERADO",Q136)))</formula>
    </cfRule>
    <cfRule type="containsText" dxfId="749" priority="912" operator="containsText" text="RIESGO BAJO">
      <formula>NOT(ISERROR(SEARCH("RIESGO BAJO",Q136)))</formula>
    </cfRule>
  </conditionalFormatting>
  <conditionalFormatting sqref="AZ136:BA136 AZ137:AZ138">
    <cfRule type="containsText" dxfId="748" priority="905" operator="containsText" text="RIESGO EXTREMO">
      <formula>NOT(ISERROR(SEARCH("RIESGO EXTREMO",AZ136)))</formula>
    </cfRule>
    <cfRule type="containsText" dxfId="747" priority="906" operator="containsText" text="RIESGO ALTO">
      <formula>NOT(ISERROR(SEARCH("RIESGO ALTO",AZ136)))</formula>
    </cfRule>
    <cfRule type="containsText" dxfId="746" priority="907" operator="containsText" text="RIESGO MODERADO">
      <formula>NOT(ISERROR(SEARCH("RIESGO MODERADO",AZ136)))</formula>
    </cfRule>
    <cfRule type="containsText" dxfId="745" priority="908" operator="containsText" text="RIESGO BAJO">
      <formula>NOT(ISERROR(SEARCH("RIESGO BAJO",AZ136)))</formula>
    </cfRule>
  </conditionalFormatting>
  <conditionalFormatting sqref="I136:I137">
    <cfRule type="expression" dxfId="744" priority="904">
      <formula>EXACT(F136,"Seguridad_de_la_informacion")</formula>
    </cfRule>
  </conditionalFormatting>
  <conditionalFormatting sqref="J136:J139">
    <cfRule type="expression" dxfId="743" priority="903">
      <formula>EXACT(F136,"Seguridad_de_la_informacion")</formula>
    </cfRule>
  </conditionalFormatting>
  <conditionalFormatting sqref="BE136:BF136 BE137:BE139 BB136:BB139 BC136:BD137">
    <cfRule type="containsText" dxfId="742" priority="899" operator="containsText" text="RIESGO EXTREMO">
      <formula>NOT(ISERROR(SEARCH("RIESGO EXTREMO",BB136)))</formula>
    </cfRule>
    <cfRule type="containsText" dxfId="741" priority="900" operator="containsText" text="RIESGO ALTO">
      <formula>NOT(ISERROR(SEARCH("RIESGO ALTO",BB136)))</formula>
    </cfRule>
    <cfRule type="containsText" dxfId="740" priority="901" operator="containsText" text="RIESGO MODERADO">
      <formula>NOT(ISERROR(SEARCH("RIESGO MODERADO",BB136)))</formula>
    </cfRule>
    <cfRule type="containsText" dxfId="739" priority="902" operator="containsText" text="RIESGO BAJO">
      <formula>NOT(ISERROR(SEARCH("RIESGO BAJO",BB136)))</formula>
    </cfRule>
  </conditionalFormatting>
  <conditionalFormatting sqref="BD138">
    <cfRule type="containsText" dxfId="738" priority="895" operator="containsText" text="RIESGO EXTREMO">
      <formula>NOT(ISERROR(SEARCH("RIESGO EXTREMO",BD138)))</formula>
    </cfRule>
    <cfRule type="containsText" dxfId="737" priority="896" operator="containsText" text="RIESGO ALTO">
      <formula>NOT(ISERROR(SEARCH("RIESGO ALTO",BD138)))</formula>
    </cfRule>
    <cfRule type="containsText" dxfId="736" priority="897" operator="containsText" text="RIESGO MODERADO">
      <formula>NOT(ISERROR(SEARCH("RIESGO MODERADO",BD138)))</formula>
    </cfRule>
    <cfRule type="containsText" dxfId="735" priority="898" operator="containsText" text="RIESGO BAJO">
      <formula>NOT(ISERROR(SEARCH("RIESGO BAJO",BD138)))</formula>
    </cfRule>
  </conditionalFormatting>
  <conditionalFormatting sqref="BI136">
    <cfRule type="containsText" dxfId="734" priority="891" operator="containsText" text="RIESGO EXTREMO">
      <formula>NOT(ISERROR(SEARCH("RIESGO EXTREMO",BI136)))</formula>
    </cfRule>
    <cfRule type="containsText" dxfId="733" priority="892" operator="containsText" text="RIESGO ALTO">
      <formula>NOT(ISERROR(SEARCH("RIESGO ALTO",BI136)))</formula>
    </cfRule>
    <cfRule type="containsText" dxfId="732" priority="893" operator="containsText" text="RIESGO MODERADO">
      <formula>NOT(ISERROR(SEARCH("RIESGO MODERADO",BI136)))</formula>
    </cfRule>
    <cfRule type="containsText" dxfId="731" priority="894" operator="containsText" text="RIESGO BAJO">
      <formula>NOT(ISERROR(SEARCH("RIESGO BAJO",BI136)))</formula>
    </cfRule>
  </conditionalFormatting>
  <conditionalFormatting sqref="Q140:Q142">
    <cfRule type="containsText" dxfId="730" priority="881" operator="containsText" text="RIESGO EXTREMO">
      <formula>NOT(ISERROR(SEARCH("RIESGO EXTREMO",Q140)))</formula>
    </cfRule>
    <cfRule type="containsText" dxfId="729" priority="882" operator="containsText" text="RIESGO ALTO">
      <formula>NOT(ISERROR(SEARCH("RIESGO ALTO",Q140)))</formula>
    </cfRule>
    <cfRule type="containsText" dxfId="728" priority="883" operator="containsText" text="RIESGO MODERADO">
      <formula>NOT(ISERROR(SEARCH("RIESGO MODERADO",Q140)))</formula>
    </cfRule>
    <cfRule type="containsText" dxfId="727" priority="884" operator="containsText" text="RIESGO BAJO">
      <formula>NOT(ISERROR(SEARCH("RIESGO BAJO",Q140)))</formula>
    </cfRule>
  </conditionalFormatting>
  <conditionalFormatting sqref="I140:I141">
    <cfRule type="expression" dxfId="726" priority="880">
      <formula>EXACT(F140,"Seguridad_de_la_informacion")</formula>
    </cfRule>
  </conditionalFormatting>
  <conditionalFormatting sqref="J140:J143">
    <cfRule type="expression" dxfId="725" priority="879">
      <formula>EXACT(F140,"Seguridad_de_la_informacion")</formula>
    </cfRule>
  </conditionalFormatting>
  <conditionalFormatting sqref="BB142:BB143 BE140:BE143 BD140:BD141">
    <cfRule type="containsText" dxfId="724" priority="875" operator="containsText" text="RIESGO EXTREMO">
      <formula>NOT(ISERROR(SEARCH("RIESGO EXTREMO",BB140)))</formula>
    </cfRule>
    <cfRule type="containsText" dxfId="723" priority="876" operator="containsText" text="RIESGO ALTO">
      <formula>NOT(ISERROR(SEARCH("RIESGO ALTO",BB140)))</formula>
    </cfRule>
    <cfRule type="containsText" dxfId="722" priority="877" operator="containsText" text="RIESGO MODERADO">
      <formula>NOT(ISERROR(SEARCH("RIESGO MODERADO",BB140)))</formula>
    </cfRule>
    <cfRule type="containsText" dxfId="721" priority="878" operator="containsText" text="RIESGO BAJO">
      <formula>NOT(ISERROR(SEARCH("RIESGO BAJO",BB140)))</formula>
    </cfRule>
  </conditionalFormatting>
  <conditionalFormatting sqref="BH141 BJ140 BG140:BH140">
    <cfRule type="containsText" dxfId="720" priority="871" operator="containsText" text="RIESGO EXTREMO">
      <formula>NOT(ISERROR(SEARCH("RIESGO EXTREMO",BG140)))</formula>
    </cfRule>
    <cfRule type="containsText" dxfId="719" priority="872" operator="containsText" text="RIESGO ALTO">
      <formula>NOT(ISERROR(SEARCH("RIESGO ALTO",BG140)))</formula>
    </cfRule>
    <cfRule type="containsText" dxfId="718" priority="873" operator="containsText" text="RIESGO MODERADO">
      <formula>NOT(ISERROR(SEARCH("RIESGO MODERADO",BG140)))</formula>
    </cfRule>
    <cfRule type="containsText" dxfId="717" priority="874" operator="containsText" text="RIESGO BAJO">
      <formula>NOT(ISERROR(SEARCH("RIESGO BAJO",BG140)))</formula>
    </cfRule>
  </conditionalFormatting>
  <conditionalFormatting sqref="BB140:BC140 BC141">
    <cfRule type="containsText" dxfId="716" priority="867" operator="containsText" text="RIESGO EXTREMO">
      <formula>NOT(ISERROR(SEARCH("RIESGO EXTREMO",BB140)))</formula>
    </cfRule>
    <cfRule type="containsText" dxfId="715" priority="868" operator="containsText" text="RIESGO ALTO">
      <formula>NOT(ISERROR(SEARCH("RIESGO ALTO",BB140)))</formula>
    </cfRule>
    <cfRule type="containsText" dxfId="714" priority="869" operator="containsText" text="RIESGO MODERADO">
      <formula>NOT(ISERROR(SEARCH("RIESGO MODERADO",BB140)))</formula>
    </cfRule>
    <cfRule type="containsText" dxfId="713" priority="870" operator="containsText" text="RIESGO BAJO">
      <formula>NOT(ISERROR(SEARCH("RIESGO BAJO",BB140)))</formula>
    </cfRule>
  </conditionalFormatting>
  <conditionalFormatting sqref="BB141">
    <cfRule type="containsText" dxfId="712" priority="863" operator="containsText" text="RIESGO EXTREMO">
      <formula>NOT(ISERROR(SEARCH("RIESGO EXTREMO",BB141)))</formula>
    </cfRule>
    <cfRule type="containsText" dxfId="711" priority="864" operator="containsText" text="RIESGO ALTO">
      <formula>NOT(ISERROR(SEARCH("RIESGO ALTO",BB141)))</formula>
    </cfRule>
    <cfRule type="containsText" dxfId="710" priority="865" operator="containsText" text="RIESGO MODERADO">
      <formula>NOT(ISERROR(SEARCH("RIESGO MODERADO",BB141)))</formula>
    </cfRule>
    <cfRule type="containsText" dxfId="709" priority="866" operator="containsText" text="RIESGO BAJO">
      <formula>NOT(ISERROR(SEARCH("RIESGO BAJO",BB141)))</formula>
    </cfRule>
  </conditionalFormatting>
  <conditionalFormatting sqref="BI140">
    <cfRule type="containsText" dxfId="708" priority="859" operator="containsText" text="RIESGO EXTREMO">
      <formula>NOT(ISERROR(SEARCH("RIESGO EXTREMO",BI140)))</formula>
    </cfRule>
    <cfRule type="containsText" dxfId="707" priority="860" operator="containsText" text="RIESGO ALTO">
      <formula>NOT(ISERROR(SEARCH("RIESGO ALTO",BI140)))</formula>
    </cfRule>
    <cfRule type="containsText" dxfId="706" priority="861" operator="containsText" text="RIESGO MODERADO">
      <formula>NOT(ISERROR(SEARCH("RIESGO MODERADO",BI140)))</formula>
    </cfRule>
    <cfRule type="containsText" dxfId="705" priority="862" operator="containsText" text="RIESGO BAJO">
      <formula>NOT(ISERROR(SEARCH("RIESGO BAJO",BI140)))</formula>
    </cfRule>
  </conditionalFormatting>
  <conditionalFormatting sqref="BI141">
    <cfRule type="containsText" dxfId="704" priority="855" operator="containsText" text="RIESGO EXTREMO">
      <formula>NOT(ISERROR(SEARCH("RIESGO EXTREMO",BI141)))</formula>
    </cfRule>
    <cfRule type="containsText" dxfId="703" priority="856" operator="containsText" text="RIESGO ALTO">
      <formula>NOT(ISERROR(SEARCH("RIESGO ALTO",BI141)))</formula>
    </cfRule>
    <cfRule type="containsText" dxfId="702" priority="857" operator="containsText" text="RIESGO MODERADO">
      <formula>NOT(ISERROR(SEARCH("RIESGO MODERADO",BI141)))</formula>
    </cfRule>
    <cfRule type="containsText" dxfId="701" priority="858" operator="containsText" text="RIESGO BAJO">
      <formula>NOT(ISERROR(SEARCH("RIESGO BAJO",BI141)))</formula>
    </cfRule>
  </conditionalFormatting>
  <conditionalFormatting sqref="BJ141">
    <cfRule type="containsText" dxfId="700" priority="851" operator="containsText" text="RIESGO EXTREMO">
      <formula>NOT(ISERROR(SEARCH("RIESGO EXTREMO",BJ141)))</formula>
    </cfRule>
    <cfRule type="containsText" dxfId="699" priority="852" operator="containsText" text="RIESGO ALTO">
      <formula>NOT(ISERROR(SEARCH("RIESGO ALTO",BJ141)))</formula>
    </cfRule>
    <cfRule type="containsText" dxfId="698" priority="853" operator="containsText" text="RIESGO MODERADO">
      <formula>NOT(ISERROR(SEARCH("RIESGO MODERADO",BJ141)))</formula>
    </cfRule>
    <cfRule type="containsText" dxfId="697" priority="854" operator="containsText" text="RIESGO BAJO">
      <formula>NOT(ISERROR(SEARCH("RIESGO BAJO",BJ141)))</formula>
    </cfRule>
  </conditionalFormatting>
  <conditionalFormatting sqref="Q144:Q146">
    <cfRule type="containsText" dxfId="696" priority="847" operator="containsText" text="RIESGO EXTREMO">
      <formula>NOT(ISERROR(SEARCH("RIESGO EXTREMO",Q144)))</formula>
    </cfRule>
    <cfRule type="containsText" dxfId="695" priority="848" operator="containsText" text="RIESGO ALTO">
      <formula>NOT(ISERROR(SEARCH("RIESGO ALTO",Q144)))</formula>
    </cfRule>
    <cfRule type="containsText" dxfId="694" priority="849" operator="containsText" text="RIESGO MODERADO">
      <formula>NOT(ISERROR(SEARCH("RIESGO MODERADO",Q144)))</formula>
    </cfRule>
    <cfRule type="containsText" dxfId="693" priority="850" operator="containsText" text="RIESGO BAJO">
      <formula>NOT(ISERROR(SEARCH("RIESGO BAJO",Q144)))</formula>
    </cfRule>
  </conditionalFormatting>
  <conditionalFormatting sqref="AZ144:BA144 AZ145:AZ146">
    <cfRule type="containsText" dxfId="692" priority="843" operator="containsText" text="RIESGO EXTREMO">
      <formula>NOT(ISERROR(SEARCH("RIESGO EXTREMO",AZ144)))</formula>
    </cfRule>
    <cfRule type="containsText" dxfId="691" priority="844" operator="containsText" text="RIESGO ALTO">
      <formula>NOT(ISERROR(SEARCH("RIESGO ALTO",AZ144)))</formula>
    </cfRule>
    <cfRule type="containsText" dxfId="690" priority="845" operator="containsText" text="RIESGO MODERADO">
      <formula>NOT(ISERROR(SEARCH("RIESGO MODERADO",AZ144)))</formula>
    </cfRule>
    <cfRule type="containsText" dxfId="689" priority="846" operator="containsText" text="RIESGO BAJO">
      <formula>NOT(ISERROR(SEARCH("RIESGO BAJO",AZ144)))</formula>
    </cfRule>
  </conditionalFormatting>
  <conditionalFormatting sqref="I144:I145">
    <cfRule type="expression" dxfId="688" priority="842">
      <formula>EXACT(F144,"Seguridad_de_la_informacion")</formula>
    </cfRule>
  </conditionalFormatting>
  <conditionalFormatting sqref="J144:J147">
    <cfRule type="expression" dxfId="687" priority="841">
      <formula>EXACT(F144,"Seguridad_de_la_informacion")</formula>
    </cfRule>
  </conditionalFormatting>
  <conditionalFormatting sqref="BB147 BE147">
    <cfRule type="containsText" dxfId="686" priority="837" operator="containsText" text="RIESGO EXTREMO">
      <formula>NOT(ISERROR(SEARCH("RIESGO EXTREMO",BB147)))</formula>
    </cfRule>
    <cfRule type="containsText" dxfId="685" priority="838" operator="containsText" text="RIESGO ALTO">
      <formula>NOT(ISERROR(SEARCH("RIESGO ALTO",BB147)))</formula>
    </cfRule>
    <cfRule type="containsText" dxfId="684" priority="839" operator="containsText" text="RIESGO MODERADO">
      <formula>NOT(ISERROR(SEARCH("RIESGO MODERADO",BB147)))</formula>
    </cfRule>
    <cfRule type="containsText" dxfId="683" priority="840" operator="containsText" text="RIESGO BAJO">
      <formula>NOT(ISERROR(SEARCH("RIESGO BAJO",BB147)))</formula>
    </cfRule>
  </conditionalFormatting>
  <conditionalFormatting sqref="BC144:BD145 BB144:BB146 BE144:BE146">
    <cfRule type="containsText" dxfId="682" priority="833" operator="containsText" text="RIESGO EXTREMO">
      <formula>NOT(ISERROR(SEARCH("RIESGO EXTREMO",BB144)))</formula>
    </cfRule>
    <cfRule type="containsText" dxfId="681" priority="834" operator="containsText" text="RIESGO ALTO">
      <formula>NOT(ISERROR(SEARCH("RIESGO ALTO",BB144)))</formula>
    </cfRule>
    <cfRule type="containsText" dxfId="680" priority="835" operator="containsText" text="RIESGO MODERADO">
      <formula>NOT(ISERROR(SEARCH("RIESGO MODERADO",BB144)))</formula>
    </cfRule>
    <cfRule type="containsText" dxfId="679" priority="836" operator="containsText" text="RIESGO BAJO">
      <formula>NOT(ISERROR(SEARCH("RIESGO BAJO",BB144)))</formula>
    </cfRule>
  </conditionalFormatting>
  <conditionalFormatting sqref="BH144:BI145 BG144 BJ144">
    <cfRule type="containsText" dxfId="678" priority="829" operator="containsText" text="RIESGO EXTREMO">
      <formula>NOT(ISERROR(SEARCH("RIESGO EXTREMO",BG144)))</formula>
    </cfRule>
    <cfRule type="containsText" dxfId="677" priority="830" operator="containsText" text="RIESGO ALTO">
      <formula>NOT(ISERROR(SEARCH("RIESGO ALTO",BG144)))</formula>
    </cfRule>
    <cfRule type="containsText" dxfId="676" priority="831" operator="containsText" text="RIESGO MODERADO">
      <formula>NOT(ISERROR(SEARCH("RIESGO MODERADO",BG144)))</formula>
    </cfRule>
    <cfRule type="containsText" dxfId="675" priority="832" operator="containsText" text="RIESGO BAJO">
      <formula>NOT(ISERROR(SEARCH("RIESGO BAJO",BG144)))</formula>
    </cfRule>
  </conditionalFormatting>
  <conditionalFormatting sqref="Q148:Q149">
    <cfRule type="containsText" dxfId="674" priority="824" operator="containsText" text="RIESGO EXTREMO">
      <formula>NOT(ISERROR(SEARCH("RIESGO EXTREMO",Q148)))</formula>
    </cfRule>
    <cfRule type="containsText" dxfId="673" priority="825" operator="containsText" text="RIESGO ALTO">
      <formula>NOT(ISERROR(SEARCH("RIESGO ALTO",Q148)))</formula>
    </cfRule>
    <cfRule type="containsText" dxfId="672" priority="826" operator="containsText" text="RIESGO MODERADO">
      <formula>NOT(ISERROR(SEARCH("RIESGO MODERADO",Q148)))</formula>
    </cfRule>
    <cfRule type="containsText" dxfId="671" priority="827" operator="containsText" text="RIESGO BAJO">
      <formula>NOT(ISERROR(SEARCH("RIESGO BAJO",Q148)))</formula>
    </cfRule>
  </conditionalFormatting>
  <conditionalFormatting sqref="AZ148:BA148 AZ149">
    <cfRule type="containsText" dxfId="670" priority="819" operator="containsText" text="RIESGO EXTREMO">
      <formula>NOT(ISERROR(SEARCH("RIESGO EXTREMO",AZ148)))</formula>
    </cfRule>
    <cfRule type="containsText" dxfId="669" priority="820" operator="containsText" text="RIESGO ALTO">
      <formula>NOT(ISERROR(SEARCH("RIESGO ALTO",AZ148)))</formula>
    </cfRule>
    <cfRule type="containsText" dxfId="668" priority="821" operator="containsText" text="RIESGO MODERADO">
      <formula>NOT(ISERROR(SEARCH("RIESGO MODERADO",AZ148)))</formula>
    </cfRule>
    <cfRule type="containsText" dxfId="667" priority="822" operator="containsText" text="RIESGO BAJO">
      <formula>NOT(ISERROR(SEARCH("RIESGO BAJO",AZ148)))</formula>
    </cfRule>
  </conditionalFormatting>
  <conditionalFormatting sqref="Q150:Q151">
    <cfRule type="containsText" dxfId="666" priority="814" operator="containsText" text="RIESGO EXTREMO">
      <formula>NOT(ISERROR(SEARCH("RIESGO EXTREMO",Q150)))</formula>
    </cfRule>
    <cfRule type="containsText" dxfId="665" priority="815" operator="containsText" text="RIESGO ALTO">
      <formula>NOT(ISERROR(SEARCH("RIESGO ALTO",Q150)))</formula>
    </cfRule>
    <cfRule type="containsText" dxfId="664" priority="816" operator="containsText" text="RIESGO MODERADO">
      <formula>NOT(ISERROR(SEARCH("RIESGO MODERADO",Q150)))</formula>
    </cfRule>
    <cfRule type="containsText" dxfId="663" priority="817" operator="containsText" text="RIESGO BAJO">
      <formula>NOT(ISERROR(SEARCH("RIESGO BAJO",Q150)))</formula>
    </cfRule>
  </conditionalFormatting>
  <conditionalFormatting sqref="AZ150:BA150 AZ151">
    <cfRule type="containsText" dxfId="662" priority="809" operator="containsText" text="RIESGO EXTREMO">
      <formula>NOT(ISERROR(SEARCH("RIESGO EXTREMO",AZ150)))</formula>
    </cfRule>
    <cfRule type="containsText" dxfId="661" priority="810" operator="containsText" text="RIESGO ALTO">
      <formula>NOT(ISERROR(SEARCH("RIESGO ALTO",AZ150)))</formula>
    </cfRule>
    <cfRule type="containsText" dxfId="660" priority="811" operator="containsText" text="RIESGO MODERADO">
      <formula>NOT(ISERROR(SEARCH("RIESGO MODERADO",AZ150)))</formula>
    </cfRule>
    <cfRule type="containsText" dxfId="659" priority="812" operator="containsText" text="RIESGO BAJO">
      <formula>NOT(ISERROR(SEARCH("RIESGO BAJO",AZ150)))</formula>
    </cfRule>
  </conditionalFormatting>
  <conditionalFormatting sqref="BB148 BE148">
    <cfRule type="containsText" dxfId="658" priority="805" operator="containsText" text="RIESGO EXTREMO">
      <formula>NOT(ISERROR(SEARCH("RIESGO EXTREMO",BB148)))</formula>
    </cfRule>
    <cfRule type="containsText" dxfId="657" priority="806" operator="containsText" text="RIESGO ALTO">
      <formula>NOT(ISERROR(SEARCH("RIESGO ALTO",BB148)))</formula>
    </cfRule>
    <cfRule type="containsText" dxfId="656" priority="807" operator="containsText" text="RIESGO MODERADO">
      <formula>NOT(ISERROR(SEARCH("RIESGO MODERADO",BB148)))</formula>
    </cfRule>
    <cfRule type="containsText" dxfId="655" priority="808" operator="containsText" text="RIESGO BAJO">
      <formula>NOT(ISERROR(SEARCH("RIESGO BAJO",BB148)))</formula>
    </cfRule>
  </conditionalFormatting>
  <conditionalFormatting sqref="BG148:BJ148">
    <cfRule type="containsText" dxfId="654" priority="801" operator="containsText" text="RIESGO EXTREMO">
      <formula>NOT(ISERROR(SEARCH("RIESGO EXTREMO",BG148)))</formula>
    </cfRule>
    <cfRule type="containsText" dxfId="653" priority="802" operator="containsText" text="RIESGO ALTO">
      <formula>NOT(ISERROR(SEARCH("RIESGO ALTO",BG148)))</formula>
    </cfRule>
    <cfRule type="containsText" dxfId="652" priority="803" operator="containsText" text="RIESGO MODERADO">
      <formula>NOT(ISERROR(SEARCH("RIESGO MODERADO",BG148)))</formula>
    </cfRule>
    <cfRule type="containsText" dxfId="651" priority="804" operator="containsText" text="RIESGO BAJO">
      <formula>NOT(ISERROR(SEARCH("RIESGO BAJO",BG148)))</formula>
    </cfRule>
  </conditionalFormatting>
  <conditionalFormatting sqref="BC148">
    <cfRule type="containsText" dxfId="650" priority="797" operator="containsText" text="RIESGO EXTREMO">
      <formula>NOT(ISERROR(SEARCH("RIESGO EXTREMO",BC148)))</formula>
    </cfRule>
    <cfRule type="containsText" dxfId="649" priority="798" operator="containsText" text="RIESGO ALTO">
      <formula>NOT(ISERROR(SEARCH("RIESGO ALTO",BC148)))</formula>
    </cfRule>
    <cfRule type="containsText" dxfId="648" priority="799" operator="containsText" text="RIESGO MODERADO">
      <formula>NOT(ISERROR(SEARCH("RIESGO MODERADO",BC148)))</formula>
    </cfRule>
    <cfRule type="containsText" dxfId="647" priority="800" operator="containsText" text="RIESGO BAJO">
      <formula>NOT(ISERROR(SEARCH("RIESGO BAJO",BC148)))</formula>
    </cfRule>
  </conditionalFormatting>
  <conditionalFormatting sqref="BD148">
    <cfRule type="containsText" dxfId="646" priority="793" operator="containsText" text="RIESGO EXTREMO">
      <formula>NOT(ISERROR(SEARCH("RIESGO EXTREMO",BD148)))</formula>
    </cfRule>
    <cfRule type="containsText" dxfId="645" priority="794" operator="containsText" text="RIESGO ALTO">
      <formula>NOT(ISERROR(SEARCH("RIESGO ALTO",BD148)))</formula>
    </cfRule>
    <cfRule type="containsText" dxfId="644" priority="795" operator="containsText" text="RIESGO MODERADO">
      <formula>NOT(ISERROR(SEARCH("RIESGO MODERADO",BD148)))</formula>
    </cfRule>
    <cfRule type="containsText" dxfId="643" priority="796" operator="containsText" text="RIESGO BAJO">
      <formula>NOT(ISERROR(SEARCH("RIESGO BAJO",BD148)))</formula>
    </cfRule>
  </conditionalFormatting>
  <conditionalFormatting sqref="BB150 BE150">
    <cfRule type="containsText" dxfId="642" priority="789" operator="containsText" text="RIESGO EXTREMO">
      <formula>NOT(ISERROR(SEARCH("RIESGO EXTREMO",BB150)))</formula>
    </cfRule>
    <cfRule type="containsText" dxfId="641" priority="790" operator="containsText" text="RIESGO ALTO">
      <formula>NOT(ISERROR(SEARCH("RIESGO ALTO",BB150)))</formula>
    </cfRule>
    <cfRule type="containsText" dxfId="640" priority="791" operator="containsText" text="RIESGO MODERADO">
      <formula>NOT(ISERROR(SEARCH("RIESGO MODERADO",BB150)))</formula>
    </cfRule>
    <cfRule type="containsText" dxfId="639" priority="792" operator="containsText" text="RIESGO BAJO">
      <formula>NOT(ISERROR(SEARCH("RIESGO BAJO",BB150)))</formula>
    </cfRule>
  </conditionalFormatting>
  <conditionalFormatting sqref="BG150:BJ150">
    <cfRule type="containsText" dxfId="638" priority="785" operator="containsText" text="RIESGO EXTREMO">
      <formula>NOT(ISERROR(SEARCH("RIESGO EXTREMO",BG150)))</formula>
    </cfRule>
    <cfRule type="containsText" dxfId="637" priority="786" operator="containsText" text="RIESGO ALTO">
      <formula>NOT(ISERROR(SEARCH("RIESGO ALTO",BG150)))</formula>
    </cfRule>
    <cfRule type="containsText" dxfId="636" priority="787" operator="containsText" text="RIESGO MODERADO">
      <formula>NOT(ISERROR(SEARCH("RIESGO MODERADO",BG150)))</formula>
    </cfRule>
    <cfRule type="containsText" dxfId="635" priority="788" operator="containsText" text="RIESGO BAJO">
      <formula>NOT(ISERROR(SEARCH("RIESGO BAJO",BG150)))</formula>
    </cfRule>
  </conditionalFormatting>
  <conditionalFormatting sqref="BC150">
    <cfRule type="containsText" dxfId="634" priority="781" operator="containsText" text="RIESGO EXTREMO">
      <formula>NOT(ISERROR(SEARCH("RIESGO EXTREMO",BC150)))</formula>
    </cfRule>
    <cfRule type="containsText" dxfId="633" priority="782" operator="containsText" text="RIESGO ALTO">
      <formula>NOT(ISERROR(SEARCH("RIESGO ALTO",BC150)))</formula>
    </cfRule>
    <cfRule type="containsText" dxfId="632" priority="783" operator="containsText" text="RIESGO MODERADO">
      <formula>NOT(ISERROR(SEARCH("RIESGO MODERADO",BC150)))</formula>
    </cfRule>
    <cfRule type="containsText" dxfId="631" priority="784" operator="containsText" text="RIESGO BAJO">
      <formula>NOT(ISERROR(SEARCH("RIESGO BAJO",BC150)))</formula>
    </cfRule>
  </conditionalFormatting>
  <conditionalFormatting sqref="BD150">
    <cfRule type="containsText" dxfId="630" priority="777" operator="containsText" text="RIESGO EXTREMO">
      <formula>NOT(ISERROR(SEARCH("RIESGO EXTREMO",BD150)))</formula>
    </cfRule>
    <cfRule type="containsText" dxfId="629" priority="778" operator="containsText" text="RIESGO ALTO">
      <formula>NOT(ISERROR(SEARCH("RIESGO ALTO",BD150)))</formula>
    </cfRule>
    <cfRule type="containsText" dxfId="628" priority="779" operator="containsText" text="RIESGO MODERADO">
      <formula>NOT(ISERROR(SEARCH("RIESGO MODERADO",BD150)))</formula>
    </cfRule>
    <cfRule type="containsText" dxfId="627" priority="780" operator="containsText" text="RIESGO BAJO">
      <formula>NOT(ISERROR(SEARCH("RIESGO BAJO",BD150)))</formula>
    </cfRule>
  </conditionalFormatting>
  <conditionalFormatting sqref="Q152:Q154 BB152:BE152">
    <cfRule type="containsText" dxfId="626" priority="773" operator="containsText" text="RIESGO EXTREMO">
      <formula>NOT(ISERROR(SEARCH("RIESGO EXTREMO",Q152)))</formula>
    </cfRule>
    <cfRule type="containsText" dxfId="625" priority="774" operator="containsText" text="RIESGO ALTO">
      <formula>NOT(ISERROR(SEARCH("RIESGO ALTO",Q152)))</formula>
    </cfRule>
    <cfRule type="containsText" dxfId="624" priority="775" operator="containsText" text="RIESGO MODERADO">
      <formula>NOT(ISERROR(SEARCH("RIESGO MODERADO",Q152)))</formula>
    </cfRule>
    <cfRule type="containsText" dxfId="623" priority="776" operator="containsText" text="RIESGO BAJO">
      <formula>NOT(ISERROR(SEARCH("RIESGO BAJO",Q152)))</formula>
    </cfRule>
  </conditionalFormatting>
  <conditionalFormatting sqref="I152:I153">
    <cfRule type="expression" dxfId="622" priority="772">
      <formula>EXACT(F152,"Seguridad_de_la_informacion")</formula>
    </cfRule>
  </conditionalFormatting>
  <conditionalFormatting sqref="J152:J155">
    <cfRule type="expression" dxfId="621" priority="771">
      <formula>EXACT(F152,"Seguridad_de_la_informacion")</formula>
    </cfRule>
  </conditionalFormatting>
  <conditionalFormatting sqref="AZ152:BA152 AZ153:AZ154">
    <cfRule type="containsText" dxfId="620" priority="767" operator="containsText" text="RIESGO EXTREMO">
      <formula>NOT(ISERROR(SEARCH("RIESGO EXTREMO",AZ152)))</formula>
    </cfRule>
    <cfRule type="containsText" dxfId="619" priority="768" operator="containsText" text="RIESGO ALTO">
      <formula>NOT(ISERROR(SEARCH("RIESGO ALTO",AZ152)))</formula>
    </cfRule>
    <cfRule type="containsText" dxfId="618" priority="769" operator="containsText" text="RIESGO MODERADO">
      <formula>NOT(ISERROR(SEARCH("RIESGO MODERADO",AZ152)))</formula>
    </cfRule>
    <cfRule type="containsText" dxfId="617" priority="770" operator="containsText" text="RIESGO BAJO">
      <formula>NOT(ISERROR(SEARCH("RIESGO BAJO",AZ152)))</formula>
    </cfRule>
  </conditionalFormatting>
  <conditionalFormatting sqref="BG152:BJ152">
    <cfRule type="containsText" dxfId="616" priority="763" operator="containsText" text="RIESGO EXTREMO">
      <formula>NOT(ISERROR(SEARCH("RIESGO EXTREMO",BG152)))</formula>
    </cfRule>
    <cfRule type="containsText" dxfId="615" priority="764" operator="containsText" text="RIESGO ALTO">
      <formula>NOT(ISERROR(SEARCH("RIESGO ALTO",BG152)))</formula>
    </cfRule>
    <cfRule type="containsText" dxfId="614" priority="765" operator="containsText" text="RIESGO MODERADO">
      <formula>NOT(ISERROR(SEARCH("RIESGO MODERADO",BG152)))</formula>
    </cfRule>
    <cfRule type="containsText" dxfId="613" priority="766" operator="containsText" text="RIESGO BAJO">
      <formula>NOT(ISERROR(SEARCH("RIESGO BAJO",BG152)))</formula>
    </cfRule>
  </conditionalFormatting>
  <conditionalFormatting sqref="BC156:BD157 BB156:BB158 BE156:BE158">
    <cfRule type="containsText" dxfId="612" priority="759" operator="containsText" text="RIESGO EXTREMO">
      <formula>NOT(ISERROR(SEARCH("RIESGO EXTREMO",BB156)))</formula>
    </cfRule>
    <cfRule type="containsText" dxfId="611" priority="760" operator="containsText" text="RIESGO ALTO">
      <formula>NOT(ISERROR(SEARCH("RIESGO ALTO",BB156)))</formula>
    </cfRule>
    <cfRule type="containsText" dxfId="610" priority="761" operator="containsText" text="RIESGO MODERADO">
      <formula>NOT(ISERROR(SEARCH("RIESGO MODERADO",BB156)))</formula>
    </cfRule>
    <cfRule type="containsText" dxfId="609" priority="762" operator="containsText" text="RIESGO BAJO">
      <formula>NOT(ISERROR(SEARCH("RIESGO BAJO",BB156)))</formula>
    </cfRule>
  </conditionalFormatting>
  <conditionalFormatting sqref="BH156:BI157 BG156 BJ156">
    <cfRule type="containsText" dxfId="608" priority="755" operator="containsText" text="RIESGO EXTREMO">
      <formula>NOT(ISERROR(SEARCH("RIESGO EXTREMO",BG156)))</formula>
    </cfRule>
    <cfRule type="containsText" dxfId="607" priority="756" operator="containsText" text="RIESGO ALTO">
      <formula>NOT(ISERROR(SEARCH("RIESGO ALTO",BG156)))</formula>
    </cfRule>
    <cfRule type="containsText" dxfId="606" priority="757" operator="containsText" text="RIESGO MODERADO">
      <formula>NOT(ISERROR(SEARCH("RIESGO MODERADO",BG156)))</formula>
    </cfRule>
    <cfRule type="containsText" dxfId="605" priority="758" operator="containsText" text="RIESGO BAJO">
      <formula>NOT(ISERROR(SEARCH("RIESGO BAJO",BG156)))</formula>
    </cfRule>
  </conditionalFormatting>
  <conditionalFormatting sqref="BF156:BF158">
    <cfRule type="containsText" dxfId="604" priority="751" operator="containsText" text="RIESGO EXTREMO">
      <formula>NOT(ISERROR(SEARCH("RIESGO EXTREMO",BF156)))</formula>
    </cfRule>
    <cfRule type="containsText" dxfId="603" priority="752" operator="containsText" text="RIESGO ALTO">
      <formula>NOT(ISERROR(SEARCH("RIESGO ALTO",BF156)))</formula>
    </cfRule>
    <cfRule type="containsText" dxfId="602" priority="753" operator="containsText" text="RIESGO MODERADO">
      <formula>NOT(ISERROR(SEARCH("RIESGO MODERADO",BF156)))</formula>
    </cfRule>
    <cfRule type="containsText" dxfId="601" priority="754" operator="containsText" text="RIESGO BAJO">
      <formula>NOT(ISERROR(SEARCH("RIESGO BAJO",BF156)))</formula>
    </cfRule>
  </conditionalFormatting>
  <conditionalFormatting sqref="Q160:Q161">
    <cfRule type="containsText" dxfId="600" priority="746" operator="containsText" text="RIESGO EXTREMO">
      <formula>NOT(ISERROR(SEARCH("RIESGO EXTREMO",Q160)))</formula>
    </cfRule>
    <cfRule type="containsText" dxfId="599" priority="747" operator="containsText" text="RIESGO ALTO">
      <formula>NOT(ISERROR(SEARCH("RIESGO ALTO",Q160)))</formula>
    </cfRule>
    <cfRule type="containsText" dxfId="598" priority="748" operator="containsText" text="RIESGO MODERADO">
      <formula>NOT(ISERROR(SEARCH("RIESGO MODERADO",Q160)))</formula>
    </cfRule>
    <cfRule type="containsText" dxfId="597" priority="749" operator="containsText" text="RIESGO BAJO">
      <formula>NOT(ISERROR(SEARCH("RIESGO BAJO",Q160)))</formula>
    </cfRule>
  </conditionalFormatting>
  <conditionalFormatting sqref="AZ160:BA160 AZ161">
    <cfRule type="containsText" dxfId="596" priority="741" operator="containsText" text="RIESGO EXTREMO">
      <formula>NOT(ISERROR(SEARCH("RIESGO EXTREMO",AZ160)))</formula>
    </cfRule>
    <cfRule type="containsText" dxfId="595" priority="742" operator="containsText" text="RIESGO ALTO">
      <formula>NOT(ISERROR(SEARCH("RIESGO ALTO",AZ160)))</formula>
    </cfRule>
    <cfRule type="containsText" dxfId="594" priority="743" operator="containsText" text="RIESGO MODERADO">
      <formula>NOT(ISERROR(SEARCH("RIESGO MODERADO",AZ160)))</formula>
    </cfRule>
    <cfRule type="containsText" dxfId="593" priority="744" operator="containsText" text="RIESGO BAJO">
      <formula>NOT(ISERROR(SEARCH("RIESGO BAJO",AZ160)))</formula>
    </cfRule>
  </conditionalFormatting>
  <conditionalFormatting sqref="BB160:BE161">
    <cfRule type="containsText" dxfId="592" priority="737" operator="containsText" text="RIESGO EXTREMO">
      <formula>NOT(ISERROR(SEARCH("RIESGO EXTREMO",BB160)))</formula>
    </cfRule>
    <cfRule type="containsText" dxfId="591" priority="738" operator="containsText" text="RIESGO ALTO">
      <formula>NOT(ISERROR(SEARCH("RIESGO ALTO",BB160)))</formula>
    </cfRule>
    <cfRule type="containsText" dxfId="590" priority="739" operator="containsText" text="RIESGO MODERADO">
      <formula>NOT(ISERROR(SEARCH("RIESGO MODERADO",BB160)))</formula>
    </cfRule>
    <cfRule type="containsText" dxfId="589" priority="740" operator="containsText" text="RIESGO BAJO">
      <formula>NOT(ISERROR(SEARCH("RIESGO BAJO",BB160)))</formula>
    </cfRule>
  </conditionalFormatting>
  <conditionalFormatting sqref="BH160:BI161 BG160 BJ160">
    <cfRule type="containsText" dxfId="588" priority="733" operator="containsText" text="RIESGO EXTREMO">
      <formula>NOT(ISERROR(SEARCH("RIESGO EXTREMO",BG160)))</formula>
    </cfRule>
    <cfRule type="containsText" dxfId="587" priority="734" operator="containsText" text="RIESGO ALTO">
      <formula>NOT(ISERROR(SEARCH("RIESGO ALTO",BG160)))</formula>
    </cfRule>
    <cfRule type="containsText" dxfId="586" priority="735" operator="containsText" text="RIESGO MODERADO">
      <formula>NOT(ISERROR(SEARCH("RIESGO MODERADO",BG160)))</formula>
    </cfRule>
    <cfRule type="containsText" dxfId="585" priority="736" operator="containsText" text="RIESGO BAJO">
      <formula>NOT(ISERROR(SEARCH("RIESGO BAJO",BG160)))</formula>
    </cfRule>
  </conditionalFormatting>
  <conditionalFormatting sqref="BF160:BF161">
    <cfRule type="containsText" dxfId="584" priority="729" operator="containsText" text="RIESGO EXTREMO">
      <formula>NOT(ISERROR(SEARCH("RIESGO EXTREMO",BF160)))</formula>
    </cfRule>
    <cfRule type="containsText" dxfId="583" priority="730" operator="containsText" text="RIESGO ALTO">
      <formula>NOT(ISERROR(SEARCH("RIESGO ALTO",BF160)))</formula>
    </cfRule>
    <cfRule type="containsText" dxfId="582" priority="731" operator="containsText" text="RIESGO MODERADO">
      <formula>NOT(ISERROR(SEARCH("RIESGO MODERADO",BF160)))</formula>
    </cfRule>
    <cfRule type="containsText" dxfId="581" priority="732" operator="containsText" text="RIESGO BAJO">
      <formula>NOT(ISERROR(SEARCH("RIESGO BAJO",BF160)))</formula>
    </cfRule>
  </conditionalFormatting>
  <conditionalFormatting sqref="Q162:Q163">
    <cfRule type="containsText" dxfId="580" priority="724" operator="containsText" text="RIESGO EXTREMO">
      <formula>NOT(ISERROR(SEARCH("RIESGO EXTREMO",Q162)))</formula>
    </cfRule>
    <cfRule type="containsText" dxfId="579" priority="725" operator="containsText" text="RIESGO ALTO">
      <formula>NOT(ISERROR(SEARCH("RIESGO ALTO",Q162)))</formula>
    </cfRule>
    <cfRule type="containsText" dxfId="578" priority="726" operator="containsText" text="RIESGO MODERADO">
      <formula>NOT(ISERROR(SEARCH("RIESGO MODERADO",Q162)))</formula>
    </cfRule>
    <cfRule type="containsText" dxfId="577" priority="727" operator="containsText" text="RIESGO BAJO">
      <formula>NOT(ISERROR(SEARCH("RIESGO BAJO",Q162)))</formula>
    </cfRule>
  </conditionalFormatting>
  <conditionalFormatting sqref="AZ162:BA162 AZ163">
    <cfRule type="containsText" dxfId="576" priority="719" operator="containsText" text="RIESGO EXTREMO">
      <formula>NOT(ISERROR(SEARCH("RIESGO EXTREMO",AZ162)))</formula>
    </cfRule>
    <cfRule type="containsText" dxfId="575" priority="720" operator="containsText" text="RIESGO ALTO">
      <formula>NOT(ISERROR(SEARCH("RIESGO ALTO",AZ162)))</formula>
    </cfRule>
    <cfRule type="containsText" dxfId="574" priority="721" operator="containsText" text="RIESGO MODERADO">
      <formula>NOT(ISERROR(SEARCH("RIESGO MODERADO",AZ162)))</formula>
    </cfRule>
    <cfRule type="containsText" dxfId="573" priority="722" operator="containsText" text="RIESGO BAJO">
      <formula>NOT(ISERROR(SEARCH("RIESGO BAJO",AZ162)))</formula>
    </cfRule>
  </conditionalFormatting>
  <conditionalFormatting sqref="BB162:BE163">
    <cfRule type="containsText" dxfId="572" priority="715" operator="containsText" text="RIESGO EXTREMO">
      <formula>NOT(ISERROR(SEARCH("RIESGO EXTREMO",BB162)))</formula>
    </cfRule>
    <cfRule type="containsText" dxfId="571" priority="716" operator="containsText" text="RIESGO ALTO">
      <formula>NOT(ISERROR(SEARCH("RIESGO ALTO",BB162)))</formula>
    </cfRule>
    <cfRule type="containsText" dxfId="570" priority="717" operator="containsText" text="RIESGO MODERADO">
      <formula>NOT(ISERROR(SEARCH("RIESGO MODERADO",BB162)))</formula>
    </cfRule>
    <cfRule type="containsText" dxfId="569" priority="718" operator="containsText" text="RIESGO BAJO">
      <formula>NOT(ISERROR(SEARCH("RIESGO BAJO",BB162)))</formula>
    </cfRule>
  </conditionalFormatting>
  <conditionalFormatting sqref="BH162:BI163 BG162 BJ162">
    <cfRule type="containsText" dxfId="568" priority="711" operator="containsText" text="RIESGO EXTREMO">
      <formula>NOT(ISERROR(SEARCH("RIESGO EXTREMO",BG162)))</formula>
    </cfRule>
    <cfRule type="containsText" dxfId="567" priority="712" operator="containsText" text="RIESGO ALTO">
      <formula>NOT(ISERROR(SEARCH("RIESGO ALTO",BG162)))</formula>
    </cfRule>
    <cfRule type="containsText" dxfId="566" priority="713" operator="containsText" text="RIESGO MODERADO">
      <formula>NOT(ISERROR(SEARCH("RIESGO MODERADO",BG162)))</formula>
    </cfRule>
    <cfRule type="containsText" dxfId="565" priority="714" operator="containsText" text="RIESGO BAJO">
      <formula>NOT(ISERROR(SEARCH("RIESGO BAJO",BG162)))</formula>
    </cfRule>
  </conditionalFormatting>
  <conditionalFormatting sqref="BF162:BF163">
    <cfRule type="containsText" dxfId="564" priority="707" operator="containsText" text="RIESGO EXTREMO">
      <formula>NOT(ISERROR(SEARCH("RIESGO EXTREMO",BF162)))</formula>
    </cfRule>
    <cfRule type="containsText" dxfId="563" priority="708" operator="containsText" text="RIESGO ALTO">
      <formula>NOT(ISERROR(SEARCH("RIESGO ALTO",BF162)))</formula>
    </cfRule>
    <cfRule type="containsText" dxfId="562" priority="709" operator="containsText" text="RIESGO MODERADO">
      <formula>NOT(ISERROR(SEARCH("RIESGO MODERADO",BF162)))</formula>
    </cfRule>
    <cfRule type="containsText" dxfId="561" priority="710" operator="containsText" text="RIESGO BAJO">
      <formula>NOT(ISERROR(SEARCH("RIESGO BAJO",BF162)))</formula>
    </cfRule>
  </conditionalFormatting>
  <conditionalFormatting sqref="Q171:Q173 BB174 BE174">
    <cfRule type="containsText" dxfId="560" priority="689" operator="containsText" text="RIESGO EXTREMO">
      <formula>NOT(ISERROR(SEARCH("RIESGO EXTREMO",Q171)))</formula>
    </cfRule>
    <cfRule type="containsText" dxfId="559" priority="690" operator="containsText" text="RIESGO ALTO">
      <formula>NOT(ISERROR(SEARCH("RIESGO ALTO",Q171)))</formula>
    </cfRule>
    <cfRule type="containsText" dxfId="558" priority="691" operator="containsText" text="RIESGO MODERADO">
      <formula>NOT(ISERROR(SEARCH("RIESGO MODERADO",Q171)))</formula>
    </cfRule>
    <cfRule type="containsText" dxfId="557" priority="692" operator="containsText" text="RIESGO BAJO">
      <formula>NOT(ISERROR(SEARCH("RIESGO BAJO",Q171)))</formula>
    </cfRule>
  </conditionalFormatting>
  <conditionalFormatting sqref="Q167:Q169 BB170 BE170">
    <cfRule type="containsText" dxfId="556" priority="703" operator="containsText" text="RIESGO EXTREMO">
      <formula>NOT(ISERROR(SEARCH("RIESGO EXTREMO",Q167)))</formula>
    </cfRule>
    <cfRule type="containsText" dxfId="555" priority="704" operator="containsText" text="RIESGO ALTO">
      <formula>NOT(ISERROR(SEARCH("RIESGO ALTO",Q167)))</formula>
    </cfRule>
    <cfRule type="containsText" dxfId="554" priority="705" operator="containsText" text="RIESGO MODERADO">
      <formula>NOT(ISERROR(SEARCH("RIESGO MODERADO",Q167)))</formula>
    </cfRule>
    <cfRule type="containsText" dxfId="553" priority="706" operator="containsText" text="RIESGO BAJO">
      <formula>NOT(ISERROR(SEARCH("RIESGO BAJO",Q167)))</formula>
    </cfRule>
  </conditionalFormatting>
  <conditionalFormatting sqref="I167:I168">
    <cfRule type="expression" dxfId="552" priority="702">
      <formula>EXACT(F167,"Seguridad_de_la_informacion")</formula>
    </cfRule>
  </conditionalFormatting>
  <conditionalFormatting sqref="J167:J170">
    <cfRule type="expression" dxfId="551" priority="701">
      <formula>EXACT(F167,"Seguridad_de_la_informacion")</formula>
    </cfRule>
  </conditionalFormatting>
  <conditionalFormatting sqref="AZ167:BA167 AZ168:AZ169">
    <cfRule type="containsText" dxfId="550" priority="697" operator="containsText" text="RIESGO EXTREMO">
      <formula>NOT(ISERROR(SEARCH("RIESGO EXTREMO",AZ167)))</formula>
    </cfRule>
    <cfRule type="containsText" dxfId="549" priority="698" operator="containsText" text="RIESGO ALTO">
      <formula>NOT(ISERROR(SEARCH("RIESGO ALTO",AZ167)))</formula>
    </cfRule>
    <cfRule type="containsText" dxfId="548" priority="699" operator="containsText" text="RIESGO MODERADO">
      <formula>NOT(ISERROR(SEARCH("RIESGO MODERADO",AZ167)))</formula>
    </cfRule>
    <cfRule type="containsText" dxfId="547" priority="700" operator="containsText" text="RIESGO BAJO">
      <formula>NOT(ISERROR(SEARCH("RIESGO BAJO",AZ167)))</formula>
    </cfRule>
  </conditionalFormatting>
  <conditionalFormatting sqref="I171:I172">
    <cfRule type="expression" dxfId="546" priority="688">
      <formula>EXACT(F171,"Seguridad_de_la_informacion")</formula>
    </cfRule>
  </conditionalFormatting>
  <conditionalFormatting sqref="J171:J174">
    <cfRule type="expression" dxfId="545" priority="687">
      <formula>EXACT(F171,"Seguridad_de_la_informacion")</formula>
    </cfRule>
  </conditionalFormatting>
  <conditionalFormatting sqref="AZ171:BA171 AZ172:AZ173">
    <cfRule type="containsText" dxfId="544" priority="683" operator="containsText" text="RIESGO EXTREMO">
      <formula>NOT(ISERROR(SEARCH("RIESGO EXTREMO",AZ171)))</formula>
    </cfRule>
    <cfRule type="containsText" dxfId="543" priority="684" operator="containsText" text="RIESGO ALTO">
      <formula>NOT(ISERROR(SEARCH("RIESGO ALTO",AZ171)))</formula>
    </cfRule>
    <cfRule type="containsText" dxfId="542" priority="685" operator="containsText" text="RIESGO MODERADO">
      <formula>NOT(ISERROR(SEARCH("RIESGO MODERADO",AZ171)))</formula>
    </cfRule>
    <cfRule type="containsText" dxfId="541" priority="686" operator="containsText" text="RIESGO BAJO">
      <formula>NOT(ISERROR(SEARCH("RIESGO BAJO",AZ171)))</formula>
    </cfRule>
  </conditionalFormatting>
  <conditionalFormatting sqref="Q175:Q177 BB178 BE178">
    <cfRule type="containsText" dxfId="540" priority="675" operator="containsText" text="RIESGO EXTREMO">
      <formula>NOT(ISERROR(SEARCH("RIESGO EXTREMO",Q175)))</formula>
    </cfRule>
    <cfRule type="containsText" dxfId="539" priority="676" operator="containsText" text="RIESGO ALTO">
      <formula>NOT(ISERROR(SEARCH("RIESGO ALTO",Q175)))</formula>
    </cfRule>
    <cfRule type="containsText" dxfId="538" priority="677" operator="containsText" text="RIESGO MODERADO">
      <formula>NOT(ISERROR(SEARCH("RIESGO MODERADO",Q175)))</formula>
    </cfRule>
    <cfRule type="containsText" dxfId="537" priority="678" operator="containsText" text="RIESGO BAJO">
      <formula>NOT(ISERROR(SEARCH("RIESGO BAJO",Q175)))</formula>
    </cfRule>
  </conditionalFormatting>
  <conditionalFormatting sqref="I175:I176">
    <cfRule type="expression" dxfId="536" priority="674">
      <formula>EXACT(F175,"Seguridad_de_la_informacion")</formula>
    </cfRule>
  </conditionalFormatting>
  <conditionalFormatting sqref="J175:J178">
    <cfRule type="expression" dxfId="535" priority="673">
      <formula>EXACT(F175,"Seguridad_de_la_informacion")</formula>
    </cfRule>
  </conditionalFormatting>
  <conditionalFormatting sqref="AZ175:BA175 AZ176:AZ177">
    <cfRule type="containsText" dxfId="534" priority="669" operator="containsText" text="RIESGO EXTREMO">
      <formula>NOT(ISERROR(SEARCH("RIESGO EXTREMO",AZ175)))</formula>
    </cfRule>
    <cfRule type="containsText" dxfId="533" priority="670" operator="containsText" text="RIESGO ALTO">
      <formula>NOT(ISERROR(SEARCH("RIESGO ALTO",AZ175)))</formula>
    </cfRule>
    <cfRule type="containsText" dxfId="532" priority="671" operator="containsText" text="RIESGO MODERADO">
      <formula>NOT(ISERROR(SEARCH("RIESGO MODERADO",AZ175)))</formula>
    </cfRule>
    <cfRule type="containsText" dxfId="531" priority="672" operator="containsText" text="RIESGO BAJO">
      <formula>NOT(ISERROR(SEARCH("RIESGO BAJO",AZ175)))</formula>
    </cfRule>
  </conditionalFormatting>
  <conditionalFormatting sqref="Q187:Q189 BB190 BE190">
    <cfRule type="containsText" dxfId="530" priority="633" operator="containsText" text="RIESGO EXTREMO">
      <formula>NOT(ISERROR(SEARCH("RIESGO EXTREMO",Q187)))</formula>
    </cfRule>
    <cfRule type="containsText" dxfId="529" priority="634" operator="containsText" text="RIESGO ALTO">
      <formula>NOT(ISERROR(SEARCH("RIESGO ALTO",Q187)))</formula>
    </cfRule>
    <cfRule type="containsText" dxfId="528" priority="635" operator="containsText" text="RIESGO MODERADO">
      <formula>NOT(ISERROR(SEARCH("RIESGO MODERADO",Q187)))</formula>
    </cfRule>
    <cfRule type="containsText" dxfId="527" priority="636" operator="containsText" text="RIESGO BAJO">
      <formula>NOT(ISERROR(SEARCH("RIESGO BAJO",Q187)))</formula>
    </cfRule>
  </conditionalFormatting>
  <conditionalFormatting sqref="I187:I188">
    <cfRule type="expression" dxfId="526" priority="632">
      <formula>EXACT(F187,"Seguridad_de_la_informacion")</formula>
    </cfRule>
  </conditionalFormatting>
  <conditionalFormatting sqref="J187:J190">
    <cfRule type="expression" dxfId="525" priority="631">
      <formula>EXACT(F187,"Seguridad_de_la_informacion")</formula>
    </cfRule>
  </conditionalFormatting>
  <conditionalFormatting sqref="AZ187:BA187 AZ188:AZ189">
    <cfRule type="containsText" dxfId="524" priority="627" operator="containsText" text="RIESGO EXTREMO">
      <formula>NOT(ISERROR(SEARCH("RIESGO EXTREMO",AZ187)))</formula>
    </cfRule>
    <cfRule type="containsText" dxfId="523" priority="628" operator="containsText" text="RIESGO ALTO">
      <formula>NOT(ISERROR(SEARCH("RIESGO ALTO",AZ187)))</formula>
    </cfRule>
    <cfRule type="containsText" dxfId="522" priority="629" operator="containsText" text="RIESGO MODERADO">
      <formula>NOT(ISERROR(SEARCH("RIESGO MODERADO",AZ187)))</formula>
    </cfRule>
    <cfRule type="containsText" dxfId="521" priority="630" operator="containsText" text="RIESGO BAJO">
      <formula>NOT(ISERROR(SEARCH("RIESGO BAJO",AZ187)))</formula>
    </cfRule>
  </conditionalFormatting>
  <conditionalFormatting sqref="Q191:Q193 BB194 BE194">
    <cfRule type="containsText" dxfId="520" priority="619" operator="containsText" text="RIESGO EXTREMO">
      <formula>NOT(ISERROR(SEARCH("RIESGO EXTREMO",Q191)))</formula>
    </cfRule>
    <cfRule type="containsText" dxfId="519" priority="620" operator="containsText" text="RIESGO ALTO">
      <formula>NOT(ISERROR(SEARCH("RIESGO ALTO",Q191)))</formula>
    </cfRule>
    <cfRule type="containsText" dxfId="518" priority="621" operator="containsText" text="RIESGO MODERADO">
      <formula>NOT(ISERROR(SEARCH("RIESGO MODERADO",Q191)))</formula>
    </cfRule>
    <cfRule type="containsText" dxfId="517" priority="622" operator="containsText" text="RIESGO BAJO">
      <formula>NOT(ISERROR(SEARCH("RIESGO BAJO",Q191)))</formula>
    </cfRule>
  </conditionalFormatting>
  <conditionalFormatting sqref="I191:I192">
    <cfRule type="expression" dxfId="516" priority="618">
      <formula>EXACT(F191,"Seguridad_de_la_informacion")</formula>
    </cfRule>
  </conditionalFormatting>
  <conditionalFormatting sqref="J191:J194">
    <cfRule type="expression" dxfId="515" priority="617">
      <formula>EXACT(F191,"Seguridad_de_la_informacion")</formula>
    </cfRule>
  </conditionalFormatting>
  <conditionalFormatting sqref="AZ191:BA191 AZ192:AZ193">
    <cfRule type="containsText" dxfId="514" priority="613" operator="containsText" text="RIESGO EXTREMO">
      <formula>NOT(ISERROR(SEARCH("RIESGO EXTREMO",AZ191)))</formula>
    </cfRule>
    <cfRule type="containsText" dxfId="513" priority="614" operator="containsText" text="RIESGO ALTO">
      <formula>NOT(ISERROR(SEARCH("RIESGO ALTO",AZ191)))</formula>
    </cfRule>
    <cfRule type="containsText" dxfId="512" priority="615" operator="containsText" text="RIESGO MODERADO">
      <formula>NOT(ISERROR(SEARCH("RIESGO MODERADO",AZ191)))</formula>
    </cfRule>
    <cfRule type="containsText" dxfId="511" priority="616" operator="containsText" text="RIESGO BAJO">
      <formula>NOT(ISERROR(SEARCH("RIESGO BAJO",AZ191)))</formula>
    </cfRule>
  </conditionalFormatting>
  <conditionalFormatting sqref="Q164:Q165">
    <cfRule type="containsText" dxfId="510" priority="590" operator="containsText" text="RIESGO EXTREMO">
      <formula>NOT(ISERROR(SEARCH("RIESGO EXTREMO",Q164)))</formula>
    </cfRule>
    <cfRule type="containsText" dxfId="509" priority="591" operator="containsText" text="RIESGO ALTO">
      <formula>NOT(ISERROR(SEARCH("RIESGO ALTO",Q164)))</formula>
    </cfRule>
    <cfRule type="containsText" dxfId="508" priority="592" operator="containsText" text="RIESGO MODERADO">
      <formula>NOT(ISERROR(SEARCH("RIESGO MODERADO",Q164)))</formula>
    </cfRule>
    <cfRule type="containsText" dxfId="507" priority="593" operator="containsText" text="RIESGO BAJO">
      <formula>NOT(ISERROR(SEARCH("RIESGO BAJO",Q164)))</formula>
    </cfRule>
  </conditionalFormatting>
  <conditionalFormatting sqref="AZ164:BA164 AZ165">
    <cfRule type="containsText" dxfId="506" priority="585" operator="containsText" text="RIESGO EXTREMO">
      <formula>NOT(ISERROR(SEARCH("RIESGO EXTREMO",AZ164)))</formula>
    </cfRule>
    <cfRule type="containsText" dxfId="505" priority="586" operator="containsText" text="RIESGO ALTO">
      <formula>NOT(ISERROR(SEARCH("RIESGO ALTO",AZ164)))</formula>
    </cfRule>
    <cfRule type="containsText" dxfId="504" priority="587" operator="containsText" text="RIESGO MODERADO">
      <formula>NOT(ISERROR(SEARCH("RIESGO MODERADO",AZ164)))</formula>
    </cfRule>
    <cfRule type="containsText" dxfId="503" priority="588" operator="containsText" text="RIESGO BAJO">
      <formula>NOT(ISERROR(SEARCH("RIESGO BAJO",AZ164)))</formula>
    </cfRule>
  </conditionalFormatting>
  <conditionalFormatting sqref="BB164:BE165">
    <cfRule type="containsText" dxfId="502" priority="581" operator="containsText" text="RIESGO EXTREMO">
      <formula>NOT(ISERROR(SEARCH("RIESGO EXTREMO",BB164)))</formula>
    </cfRule>
    <cfRule type="containsText" dxfId="501" priority="582" operator="containsText" text="RIESGO ALTO">
      <formula>NOT(ISERROR(SEARCH("RIESGO ALTO",BB164)))</formula>
    </cfRule>
    <cfRule type="containsText" dxfId="500" priority="583" operator="containsText" text="RIESGO MODERADO">
      <formula>NOT(ISERROR(SEARCH("RIESGO MODERADO",BB164)))</formula>
    </cfRule>
    <cfRule type="containsText" dxfId="499" priority="584" operator="containsText" text="RIESGO BAJO">
      <formula>NOT(ISERROR(SEARCH("RIESGO BAJO",BB164)))</formula>
    </cfRule>
  </conditionalFormatting>
  <conditionalFormatting sqref="BH164:BI165 BG164 BJ164">
    <cfRule type="containsText" dxfId="498" priority="577" operator="containsText" text="RIESGO EXTREMO">
      <formula>NOT(ISERROR(SEARCH("RIESGO EXTREMO",BG164)))</formula>
    </cfRule>
    <cfRule type="containsText" dxfId="497" priority="578" operator="containsText" text="RIESGO ALTO">
      <formula>NOT(ISERROR(SEARCH("RIESGO ALTO",BG164)))</formula>
    </cfRule>
    <cfRule type="containsText" dxfId="496" priority="579" operator="containsText" text="RIESGO MODERADO">
      <formula>NOT(ISERROR(SEARCH("RIESGO MODERADO",BG164)))</formula>
    </cfRule>
    <cfRule type="containsText" dxfId="495" priority="580" operator="containsText" text="RIESGO BAJO">
      <formula>NOT(ISERROR(SEARCH("RIESGO BAJO",BG164)))</formula>
    </cfRule>
  </conditionalFormatting>
  <conditionalFormatting sqref="BF164:BF165">
    <cfRule type="containsText" dxfId="494" priority="573" operator="containsText" text="RIESGO EXTREMO">
      <formula>NOT(ISERROR(SEARCH("RIESGO EXTREMO",BF164)))</formula>
    </cfRule>
    <cfRule type="containsText" dxfId="493" priority="574" operator="containsText" text="RIESGO ALTO">
      <formula>NOT(ISERROR(SEARCH("RIESGO ALTO",BF164)))</formula>
    </cfRule>
    <cfRule type="containsText" dxfId="492" priority="575" operator="containsText" text="RIESGO MODERADO">
      <formula>NOT(ISERROR(SEARCH("RIESGO MODERADO",BF164)))</formula>
    </cfRule>
    <cfRule type="containsText" dxfId="491" priority="576" operator="containsText" text="RIESGO BAJO">
      <formula>NOT(ISERROR(SEARCH("RIESGO BAJO",BF164)))</formula>
    </cfRule>
  </conditionalFormatting>
  <conditionalFormatting sqref="Q166">
    <cfRule type="containsText" dxfId="490" priority="567" operator="containsText" text="RIESGO EXTREMO">
      <formula>NOT(ISERROR(SEARCH("RIESGO EXTREMO",Q166)))</formula>
    </cfRule>
    <cfRule type="containsText" dxfId="489" priority="568" operator="containsText" text="RIESGO ALTO">
      <formula>NOT(ISERROR(SEARCH("RIESGO ALTO",Q166)))</formula>
    </cfRule>
    <cfRule type="containsText" dxfId="488" priority="569" operator="containsText" text="RIESGO MODERADO">
      <formula>NOT(ISERROR(SEARCH("RIESGO MODERADO",Q166)))</formula>
    </cfRule>
    <cfRule type="containsText" dxfId="487" priority="570" operator="containsText" text="RIESGO BAJO">
      <formula>NOT(ISERROR(SEARCH("RIESGO BAJO",Q166)))</formula>
    </cfRule>
  </conditionalFormatting>
  <conditionalFormatting sqref="AZ166:BA166">
    <cfRule type="containsText" dxfId="486" priority="563" operator="containsText" text="RIESGO EXTREMO">
      <formula>NOT(ISERROR(SEARCH("RIESGO EXTREMO",AZ166)))</formula>
    </cfRule>
    <cfRule type="containsText" dxfId="485" priority="564" operator="containsText" text="RIESGO ALTO">
      <formula>NOT(ISERROR(SEARCH("RIESGO ALTO",AZ166)))</formula>
    </cfRule>
    <cfRule type="containsText" dxfId="484" priority="565" operator="containsText" text="RIESGO MODERADO">
      <formula>NOT(ISERROR(SEARCH("RIESGO MODERADO",AZ166)))</formula>
    </cfRule>
    <cfRule type="containsText" dxfId="483" priority="566" operator="containsText" text="RIESGO BAJO">
      <formula>NOT(ISERROR(SEARCH("RIESGO BAJO",AZ166)))</formula>
    </cfRule>
  </conditionalFormatting>
  <conditionalFormatting sqref="BB166 BE166">
    <cfRule type="containsText" dxfId="482" priority="559" operator="containsText" text="RIESGO EXTREMO">
      <formula>NOT(ISERROR(SEARCH("RIESGO EXTREMO",BB166)))</formula>
    </cfRule>
    <cfRule type="containsText" dxfId="481" priority="560" operator="containsText" text="RIESGO ALTO">
      <formula>NOT(ISERROR(SEARCH("RIESGO ALTO",BB166)))</formula>
    </cfRule>
    <cfRule type="containsText" dxfId="480" priority="561" operator="containsText" text="RIESGO MODERADO">
      <formula>NOT(ISERROR(SEARCH("RIESGO MODERADO",BB166)))</formula>
    </cfRule>
    <cfRule type="containsText" dxfId="479" priority="562" operator="containsText" text="RIESGO BAJO">
      <formula>NOT(ISERROR(SEARCH("RIESGO BAJO",BB166)))</formula>
    </cfRule>
  </conditionalFormatting>
  <conditionalFormatting sqref="BC166:BD166">
    <cfRule type="containsText" dxfId="478" priority="555" operator="containsText" text="RIESGO EXTREMO">
      <formula>NOT(ISERROR(SEARCH("RIESGO EXTREMO",BC166)))</formula>
    </cfRule>
    <cfRule type="containsText" dxfId="477" priority="556" operator="containsText" text="RIESGO ALTO">
      <formula>NOT(ISERROR(SEARCH("RIESGO ALTO",BC166)))</formula>
    </cfRule>
    <cfRule type="containsText" dxfId="476" priority="557" operator="containsText" text="RIESGO MODERADO">
      <formula>NOT(ISERROR(SEARCH("RIESGO MODERADO",BC166)))</formula>
    </cfRule>
    <cfRule type="containsText" dxfId="475" priority="558" operator="containsText" text="RIESGO BAJO">
      <formula>NOT(ISERROR(SEARCH("RIESGO BAJO",BC166)))</formula>
    </cfRule>
  </conditionalFormatting>
  <conditionalFormatting sqref="BG166:BJ166">
    <cfRule type="containsText" dxfId="474" priority="551" operator="containsText" text="RIESGO EXTREMO">
      <formula>NOT(ISERROR(SEARCH("RIESGO EXTREMO",BG166)))</formula>
    </cfRule>
    <cfRule type="containsText" dxfId="473" priority="552" operator="containsText" text="RIESGO ALTO">
      <formula>NOT(ISERROR(SEARCH("RIESGO ALTO",BG166)))</formula>
    </cfRule>
    <cfRule type="containsText" dxfId="472" priority="553" operator="containsText" text="RIESGO MODERADO">
      <formula>NOT(ISERROR(SEARCH("RIESGO MODERADO",BG166)))</formula>
    </cfRule>
    <cfRule type="containsText" dxfId="471" priority="554" operator="containsText" text="RIESGO BAJO">
      <formula>NOT(ISERROR(SEARCH("RIESGO BAJO",BG166)))</formula>
    </cfRule>
  </conditionalFormatting>
  <conditionalFormatting sqref="BB167:BD168 BE167:BE169">
    <cfRule type="containsText" dxfId="470" priority="547" operator="containsText" text="RIESGO EXTREMO">
      <formula>NOT(ISERROR(SEARCH("RIESGO EXTREMO",BB167)))</formula>
    </cfRule>
    <cfRule type="containsText" dxfId="469" priority="548" operator="containsText" text="RIESGO ALTO">
      <formula>NOT(ISERROR(SEARCH("RIESGO ALTO",BB167)))</formula>
    </cfRule>
    <cfRule type="containsText" dxfId="468" priority="549" operator="containsText" text="RIESGO MODERADO">
      <formula>NOT(ISERROR(SEARCH("RIESGO MODERADO",BB167)))</formula>
    </cfRule>
    <cfRule type="containsText" dxfId="467" priority="550" operator="containsText" text="RIESGO BAJO">
      <formula>NOT(ISERROR(SEARCH("RIESGO BAJO",BB167)))</formula>
    </cfRule>
  </conditionalFormatting>
  <conditionalFormatting sqref="BG167 BJ167">
    <cfRule type="containsText" dxfId="466" priority="543" operator="containsText" text="RIESGO EXTREMO">
      <formula>NOT(ISERROR(SEARCH("RIESGO EXTREMO",BG167)))</formula>
    </cfRule>
    <cfRule type="containsText" dxfId="465" priority="544" operator="containsText" text="RIESGO ALTO">
      <formula>NOT(ISERROR(SEARCH("RIESGO ALTO",BG167)))</formula>
    </cfRule>
    <cfRule type="containsText" dxfId="464" priority="545" operator="containsText" text="RIESGO MODERADO">
      <formula>NOT(ISERROR(SEARCH("RIESGO MODERADO",BG167)))</formula>
    </cfRule>
    <cfRule type="containsText" dxfId="463" priority="546" operator="containsText" text="RIESGO BAJO">
      <formula>NOT(ISERROR(SEARCH("RIESGO BAJO",BG167)))</formula>
    </cfRule>
  </conditionalFormatting>
  <conditionalFormatting sqref="BH167">
    <cfRule type="containsText" dxfId="462" priority="539" operator="containsText" text="RIESGO EXTREMO">
      <formula>NOT(ISERROR(SEARCH("RIESGO EXTREMO",BH167)))</formula>
    </cfRule>
    <cfRule type="containsText" dxfId="461" priority="540" operator="containsText" text="RIESGO ALTO">
      <formula>NOT(ISERROR(SEARCH("RIESGO ALTO",BH167)))</formula>
    </cfRule>
    <cfRule type="containsText" dxfId="460" priority="541" operator="containsText" text="RIESGO MODERADO">
      <formula>NOT(ISERROR(SEARCH("RIESGO MODERADO",BH167)))</formula>
    </cfRule>
    <cfRule type="containsText" dxfId="459" priority="542" operator="containsText" text="RIESGO BAJO">
      <formula>NOT(ISERROR(SEARCH("RIESGO BAJO",BH167)))</formula>
    </cfRule>
  </conditionalFormatting>
  <conditionalFormatting sqref="BI167">
    <cfRule type="containsText" dxfId="458" priority="535" operator="containsText" text="RIESGO EXTREMO">
      <formula>NOT(ISERROR(SEARCH("RIESGO EXTREMO",BI167)))</formula>
    </cfRule>
    <cfRule type="containsText" dxfId="457" priority="536" operator="containsText" text="RIESGO ALTO">
      <formula>NOT(ISERROR(SEARCH("RIESGO ALTO",BI167)))</formula>
    </cfRule>
    <cfRule type="containsText" dxfId="456" priority="537" operator="containsText" text="RIESGO MODERADO">
      <formula>NOT(ISERROR(SEARCH("RIESGO MODERADO",BI167)))</formula>
    </cfRule>
    <cfRule type="containsText" dxfId="455" priority="538" operator="containsText" text="RIESGO BAJO">
      <formula>NOT(ISERROR(SEARCH("RIESGO BAJO",BI167)))</formula>
    </cfRule>
  </conditionalFormatting>
  <conditionalFormatting sqref="BH171:BJ172">
    <cfRule type="containsText" dxfId="454" priority="523" operator="containsText" text="RIESGO EXTREMO">
      <formula>NOT(ISERROR(SEARCH("RIESGO EXTREMO",BH171)))</formula>
    </cfRule>
    <cfRule type="containsText" dxfId="453" priority="524" operator="containsText" text="RIESGO ALTO">
      <formula>NOT(ISERROR(SEARCH("RIESGO ALTO",BH171)))</formula>
    </cfRule>
    <cfRule type="containsText" dxfId="452" priority="525" operator="containsText" text="RIESGO MODERADO">
      <formula>NOT(ISERROR(SEARCH("RIESGO MODERADO",BH171)))</formula>
    </cfRule>
    <cfRule type="containsText" dxfId="451" priority="526" operator="containsText" text="RIESGO BAJO">
      <formula>NOT(ISERROR(SEARCH("RIESGO BAJO",BH171)))</formula>
    </cfRule>
  </conditionalFormatting>
  <conditionalFormatting sqref="BB172:BE172">
    <cfRule type="containsText" dxfId="450" priority="519" operator="containsText" text="RIESGO EXTREMO">
      <formula>NOT(ISERROR(SEARCH("RIESGO EXTREMO",BB172)))</formula>
    </cfRule>
    <cfRule type="containsText" dxfId="449" priority="520" operator="containsText" text="RIESGO ALTO">
      <formula>NOT(ISERROR(SEARCH("RIESGO ALTO",BB172)))</formula>
    </cfRule>
    <cfRule type="containsText" dxfId="448" priority="521" operator="containsText" text="RIESGO MODERADO">
      <formula>NOT(ISERROR(SEARCH("RIESGO MODERADO",BB172)))</formula>
    </cfRule>
    <cfRule type="containsText" dxfId="447" priority="522" operator="containsText" text="RIESGO BAJO">
      <formula>NOT(ISERROR(SEARCH("RIESGO BAJO",BB172)))</formula>
    </cfRule>
  </conditionalFormatting>
  <conditionalFormatting sqref="BB171:BE172">
    <cfRule type="containsText" dxfId="446" priority="515" operator="containsText" text="RIESGO EXTREMO">
      <formula>NOT(ISERROR(SEARCH("RIESGO EXTREMO",BB171)))</formula>
    </cfRule>
    <cfRule type="containsText" dxfId="445" priority="516" operator="containsText" text="RIESGO ALTO">
      <formula>NOT(ISERROR(SEARCH("RIESGO ALTO",BB171)))</formula>
    </cfRule>
    <cfRule type="containsText" dxfId="444" priority="517" operator="containsText" text="RIESGO MODERADO">
      <formula>NOT(ISERROR(SEARCH("RIESGO MODERADO",BB171)))</formula>
    </cfRule>
    <cfRule type="containsText" dxfId="443" priority="518" operator="containsText" text="RIESGO BAJO">
      <formula>NOT(ISERROR(SEARCH("RIESGO BAJO",BB171)))</formula>
    </cfRule>
  </conditionalFormatting>
  <conditionalFormatting sqref="BH175">
    <cfRule type="containsText" dxfId="442" priority="511" operator="containsText" text="RIESGO EXTREMO">
      <formula>NOT(ISERROR(SEARCH("RIESGO EXTREMO",BH175)))</formula>
    </cfRule>
    <cfRule type="containsText" dxfId="441" priority="512" operator="containsText" text="RIESGO ALTO">
      <formula>NOT(ISERROR(SEARCH("RIESGO ALTO",BH175)))</formula>
    </cfRule>
    <cfRule type="containsText" dxfId="440" priority="513" operator="containsText" text="RIESGO MODERADO">
      <formula>NOT(ISERROR(SEARCH("RIESGO MODERADO",BH175)))</formula>
    </cfRule>
    <cfRule type="containsText" dxfId="439" priority="514" operator="containsText" text="RIESGO BAJO">
      <formula>NOT(ISERROR(SEARCH("RIESGO BAJO",BH175)))</formula>
    </cfRule>
  </conditionalFormatting>
  <conditionalFormatting sqref="BB176:BB177 BE175:BE177 BD175:BD176">
    <cfRule type="containsText" dxfId="438" priority="507" operator="containsText" text="RIESGO EXTREMO">
      <formula>NOT(ISERROR(SEARCH("RIESGO EXTREMO",BB175)))</formula>
    </cfRule>
    <cfRule type="containsText" dxfId="437" priority="508" operator="containsText" text="RIESGO ALTO">
      <formula>NOT(ISERROR(SEARCH("RIESGO ALTO",BB175)))</formula>
    </cfRule>
    <cfRule type="containsText" dxfId="436" priority="509" operator="containsText" text="RIESGO MODERADO">
      <formula>NOT(ISERROR(SEARCH("RIESGO MODERADO",BB175)))</formula>
    </cfRule>
    <cfRule type="containsText" dxfId="435" priority="510" operator="containsText" text="RIESGO BAJO">
      <formula>NOT(ISERROR(SEARCH("RIESGO BAJO",BB175)))</formula>
    </cfRule>
  </conditionalFormatting>
  <conditionalFormatting sqref="BG175 BI175:BJ175">
    <cfRule type="containsText" dxfId="434" priority="503" operator="containsText" text="RIESGO EXTREMO">
      <formula>NOT(ISERROR(SEARCH("RIESGO EXTREMO",BG175)))</formula>
    </cfRule>
    <cfRule type="containsText" dxfId="433" priority="504" operator="containsText" text="RIESGO ALTO">
      <formula>NOT(ISERROR(SEARCH("RIESGO ALTO",BG175)))</formula>
    </cfRule>
    <cfRule type="containsText" dxfId="432" priority="505" operator="containsText" text="RIESGO MODERADO">
      <formula>NOT(ISERROR(SEARCH("RIESGO MODERADO",BG175)))</formula>
    </cfRule>
    <cfRule type="containsText" dxfId="431" priority="506" operator="containsText" text="RIESGO BAJO">
      <formula>NOT(ISERROR(SEARCH("RIESGO BAJO",BG175)))</formula>
    </cfRule>
  </conditionalFormatting>
  <conditionalFormatting sqref="BC175:BC176">
    <cfRule type="containsText" dxfId="430" priority="499" operator="containsText" text="RIESGO EXTREMO">
      <formula>NOT(ISERROR(SEARCH("RIESGO EXTREMO",BC175)))</formula>
    </cfRule>
    <cfRule type="containsText" dxfId="429" priority="500" operator="containsText" text="RIESGO ALTO">
      <formula>NOT(ISERROR(SEARCH("RIESGO ALTO",BC175)))</formula>
    </cfRule>
    <cfRule type="containsText" dxfId="428" priority="501" operator="containsText" text="RIESGO MODERADO">
      <formula>NOT(ISERROR(SEARCH("RIESGO MODERADO",BC175)))</formula>
    </cfRule>
    <cfRule type="containsText" dxfId="427" priority="502" operator="containsText" text="RIESGO BAJO">
      <formula>NOT(ISERROR(SEARCH("RIESGO BAJO",BC175)))</formula>
    </cfRule>
  </conditionalFormatting>
  <conditionalFormatting sqref="BC175:BC176">
    <cfRule type="containsText" dxfId="426" priority="495" operator="containsText" text="RIESGO EXTREMO">
      <formula>NOT(ISERROR(SEARCH("RIESGO EXTREMO",BC175)))</formula>
    </cfRule>
    <cfRule type="containsText" dxfId="425" priority="496" operator="containsText" text="RIESGO ALTO">
      <formula>NOT(ISERROR(SEARCH("RIESGO ALTO",BC175)))</formula>
    </cfRule>
    <cfRule type="containsText" dxfId="424" priority="497" operator="containsText" text="RIESGO MODERADO">
      <formula>NOT(ISERROR(SEARCH("RIESGO MODERADO",BC175)))</formula>
    </cfRule>
    <cfRule type="containsText" dxfId="423" priority="498" operator="containsText" text="RIESGO BAJO">
      <formula>NOT(ISERROR(SEARCH("RIESGO BAJO",BC175)))</formula>
    </cfRule>
  </conditionalFormatting>
  <conditionalFormatting sqref="Q179:Q181">
    <cfRule type="containsText" dxfId="422" priority="491" operator="containsText" text="RIESGO EXTREMO">
      <formula>NOT(ISERROR(SEARCH("RIESGO EXTREMO",Q179)))</formula>
    </cfRule>
    <cfRule type="containsText" dxfId="421" priority="492" operator="containsText" text="RIESGO ALTO">
      <formula>NOT(ISERROR(SEARCH("RIESGO ALTO",Q179)))</formula>
    </cfRule>
    <cfRule type="containsText" dxfId="420" priority="493" operator="containsText" text="RIESGO MODERADO">
      <formula>NOT(ISERROR(SEARCH("RIESGO MODERADO",Q179)))</formula>
    </cfRule>
    <cfRule type="containsText" dxfId="419" priority="494" operator="containsText" text="RIESGO BAJO">
      <formula>NOT(ISERROR(SEARCH("RIESGO BAJO",Q179)))</formula>
    </cfRule>
  </conditionalFormatting>
  <conditionalFormatting sqref="AZ179:BA179 AZ180:AZ181">
    <cfRule type="containsText" dxfId="418" priority="487" operator="containsText" text="RIESGO EXTREMO">
      <formula>NOT(ISERROR(SEARCH("RIESGO EXTREMO",AZ179)))</formula>
    </cfRule>
    <cfRule type="containsText" dxfId="417" priority="488" operator="containsText" text="RIESGO ALTO">
      <formula>NOT(ISERROR(SEARCH("RIESGO ALTO",AZ179)))</formula>
    </cfRule>
    <cfRule type="containsText" dxfId="416" priority="489" operator="containsText" text="RIESGO MODERADO">
      <formula>NOT(ISERROR(SEARCH("RIESGO MODERADO",AZ179)))</formula>
    </cfRule>
    <cfRule type="containsText" dxfId="415" priority="490" operator="containsText" text="RIESGO BAJO">
      <formula>NOT(ISERROR(SEARCH("RIESGO BAJO",AZ179)))</formula>
    </cfRule>
  </conditionalFormatting>
  <conditionalFormatting sqref="I179:I180">
    <cfRule type="expression" dxfId="414" priority="486">
      <formula>EXACT(F179,"Seguridad_de_la_informacion")</formula>
    </cfRule>
  </conditionalFormatting>
  <conditionalFormatting sqref="J179:J182">
    <cfRule type="expression" dxfId="413" priority="485">
      <formula>EXACT(F179,"Seguridad_de_la_informacion")</formula>
    </cfRule>
  </conditionalFormatting>
  <conditionalFormatting sqref="BB181:BB182 BE181:BE182">
    <cfRule type="containsText" dxfId="412" priority="481" operator="containsText" text="RIESGO EXTREMO">
      <formula>NOT(ISERROR(SEARCH("RIESGO EXTREMO",BB181)))</formula>
    </cfRule>
    <cfRule type="containsText" dxfId="411" priority="482" operator="containsText" text="RIESGO ALTO">
      <formula>NOT(ISERROR(SEARCH("RIESGO ALTO",BB181)))</formula>
    </cfRule>
    <cfRule type="containsText" dxfId="410" priority="483" operator="containsText" text="RIESGO MODERADO">
      <formula>NOT(ISERROR(SEARCH("RIESGO MODERADO",BB181)))</formula>
    </cfRule>
    <cfRule type="containsText" dxfId="409" priority="484" operator="containsText" text="RIESGO BAJO">
      <formula>NOT(ISERROR(SEARCH("RIESGO BAJO",BB181)))</formula>
    </cfRule>
  </conditionalFormatting>
  <conditionalFormatting sqref="BH180:BI180">
    <cfRule type="containsText" dxfId="408" priority="477" operator="containsText" text="RIESGO EXTREMO">
      <formula>NOT(ISERROR(SEARCH("RIESGO EXTREMO",BH180)))</formula>
    </cfRule>
    <cfRule type="containsText" dxfId="407" priority="478" operator="containsText" text="RIESGO ALTO">
      <formula>NOT(ISERROR(SEARCH("RIESGO ALTO",BH180)))</formula>
    </cfRule>
    <cfRule type="containsText" dxfId="406" priority="479" operator="containsText" text="RIESGO MODERADO">
      <formula>NOT(ISERROR(SEARCH("RIESGO MODERADO",BH180)))</formula>
    </cfRule>
    <cfRule type="containsText" dxfId="405" priority="480" operator="containsText" text="RIESGO BAJO">
      <formula>NOT(ISERROR(SEARCH("RIESGO BAJO",BH180)))</formula>
    </cfRule>
  </conditionalFormatting>
  <conditionalFormatting sqref="BC179">
    <cfRule type="containsText" dxfId="404" priority="473" operator="containsText" text="RIESGO EXTREMO">
      <formula>NOT(ISERROR(SEARCH("RIESGO EXTREMO",BC179)))</formula>
    </cfRule>
    <cfRule type="containsText" dxfId="403" priority="474" operator="containsText" text="RIESGO ALTO">
      <formula>NOT(ISERROR(SEARCH("RIESGO ALTO",BC179)))</formula>
    </cfRule>
    <cfRule type="containsText" dxfId="402" priority="475" operator="containsText" text="RIESGO MODERADO">
      <formula>NOT(ISERROR(SEARCH("RIESGO MODERADO",BC179)))</formula>
    </cfRule>
    <cfRule type="containsText" dxfId="401" priority="476" operator="containsText" text="RIESGO BAJO">
      <formula>NOT(ISERROR(SEARCH("RIESGO BAJO",BC179)))</formula>
    </cfRule>
  </conditionalFormatting>
  <conditionalFormatting sqref="BB179">
    <cfRule type="containsText" dxfId="400" priority="469" operator="containsText" text="RIESGO EXTREMO">
      <formula>NOT(ISERROR(SEARCH("RIESGO EXTREMO",BB179)))</formula>
    </cfRule>
    <cfRule type="containsText" dxfId="399" priority="470" operator="containsText" text="RIESGO ALTO">
      <formula>NOT(ISERROR(SEARCH("RIESGO ALTO",BB179)))</formula>
    </cfRule>
    <cfRule type="containsText" dxfId="398" priority="471" operator="containsText" text="RIESGO MODERADO">
      <formula>NOT(ISERROR(SEARCH("RIESGO MODERADO",BB179)))</formula>
    </cfRule>
    <cfRule type="containsText" dxfId="397" priority="472" operator="containsText" text="RIESGO BAJO">
      <formula>NOT(ISERROR(SEARCH("RIESGO BAJO",BB179)))</formula>
    </cfRule>
  </conditionalFormatting>
  <conditionalFormatting sqref="BB180">
    <cfRule type="containsText" dxfId="396" priority="465" operator="containsText" text="RIESGO EXTREMO">
      <formula>NOT(ISERROR(SEARCH("RIESGO EXTREMO",BB180)))</formula>
    </cfRule>
    <cfRule type="containsText" dxfId="395" priority="466" operator="containsText" text="RIESGO ALTO">
      <formula>NOT(ISERROR(SEARCH("RIESGO ALTO",BB180)))</formula>
    </cfRule>
    <cfRule type="containsText" dxfId="394" priority="467" operator="containsText" text="RIESGO MODERADO">
      <formula>NOT(ISERROR(SEARCH("RIESGO MODERADO",BB180)))</formula>
    </cfRule>
    <cfRule type="containsText" dxfId="393" priority="468" operator="containsText" text="RIESGO BAJO">
      <formula>NOT(ISERROR(SEARCH("RIESGO BAJO",BB180)))</formula>
    </cfRule>
  </conditionalFormatting>
  <conditionalFormatting sqref="BC180">
    <cfRule type="containsText" dxfId="392" priority="461" operator="containsText" text="RIESGO EXTREMO">
      <formula>NOT(ISERROR(SEARCH("RIESGO EXTREMO",BC180)))</formula>
    </cfRule>
    <cfRule type="containsText" dxfId="391" priority="462" operator="containsText" text="RIESGO ALTO">
      <formula>NOT(ISERROR(SEARCH("RIESGO ALTO",BC180)))</formula>
    </cfRule>
    <cfRule type="containsText" dxfId="390" priority="463" operator="containsText" text="RIESGO MODERADO">
      <formula>NOT(ISERROR(SEARCH("RIESGO MODERADO",BC180)))</formula>
    </cfRule>
    <cfRule type="containsText" dxfId="389" priority="464" operator="containsText" text="RIESGO BAJO">
      <formula>NOT(ISERROR(SEARCH("RIESGO BAJO",BC180)))</formula>
    </cfRule>
  </conditionalFormatting>
  <conditionalFormatting sqref="BD179">
    <cfRule type="containsText" dxfId="388" priority="457" operator="containsText" text="RIESGO EXTREMO">
      <formula>NOT(ISERROR(SEARCH("RIESGO EXTREMO",BD179)))</formula>
    </cfRule>
    <cfRule type="containsText" dxfId="387" priority="458" operator="containsText" text="RIESGO ALTO">
      <formula>NOT(ISERROR(SEARCH("RIESGO ALTO",BD179)))</formula>
    </cfRule>
    <cfRule type="containsText" dxfId="386" priority="459" operator="containsText" text="RIESGO MODERADO">
      <formula>NOT(ISERROR(SEARCH("RIESGO MODERADO",BD179)))</formula>
    </cfRule>
    <cfRule type="containsText" dxfId="385" priority="460" operator="containsText" text="RIESGO BAJO">
      <formula>NOT(ISERROR(SEARCH("RIESGO BAJO",BD179)))</formula>
    </cfRule>
  </conditionalFormatting>
  <conditionalFormatting sqref="BD180">
    <cfRule type="containsText" dxfId="384" priority="453" operator="containsText" text="RIESGO EXTREMO">
      <formula>NOT(ISERROR(SEARCH("RIESGO EXTREMO",BD180)))</formula>
    </cfRule>
    <cfRule type="containsText" dxfId="383" priority="454" operator="containsText" text="RIESGO ALTO">
      <formula>NOT(ISERROR(SEARCH("RIESGO ALTO",BD180)))</formula>
    </cfRule>
    <cfRule type="containsText" dxfId="382" priority="455" operator="containsText" text="RIESGO MODERADO">
      <formula>NOT(ISERROR(SEARCH("RIESGO MODERADO",BD180)))</formula>
    </cfRule>
    <cfRule type="containsText" dxfId="381" priority="456" operator="containsText" text="RIESGO BAJO">
      <formula>NOT(ISERROR(SEARCH("RIESGO BAJO",BD180)))</formula>
    </cfRule>
  </conditionalFormatting>
  <conditionalFormatting sqref="BE179">
    <cfRule type="containsText" dxfId="380" priority="449" operator="containsText" text="RIESGO EXTREMO">
      <formula>NOT(ISERROR(SEARCH("RIESGO EXTREMO",BE179)))</formula>
    </cfRule>
    <cfRule type="containsText" dxfId="379" priority="450" operator="containsText" text="RIESGO ALTO">
      <formula>NOT(ISERROR(SEARCH("RIESGO ALTO",BE179)))</formula>
    </cfRule>
    <cfRule type="containsText" dxfId="378" priority="451" operator="containsText" text="RIESGO MODERADO">
      <formula>NOT(ISERROR(SEARCH("RIESGO MODERADO",BE179)))</formula>
    </cfRule>
    <cfRule type="containsText" dxfId="377" priority="452" operator="containsText" text="RIESGO BAJO">
      <formula>NOT(ISERROR(SEARCH("RIESGO BAJO",BE179)))</formula>
    </cfRule>
  </conditionalFormatting>
  <conditionalFormatting sqref="BE180">
    <cfRule type="containsText" dxfId="376" priority="445" operator="containsText" text="RIESGO EXTREMO">
      <formula>NOT(ISERROR(SEARCH("RIESGO EXTREMO",BE180)))</formula>
    </cfRule>
    <cfRule type="containsText" dxfId="375" priority="446" operator="containsText" text="RIESGO ALTO">
      <formula>NOT(ISERROR(SEARCH("RIESGO ALTO",BE180)))</formula>
    </cfRule>
    <cfRule type="containsText" dxfId="374" priority="447" operator="containsText" text="RIESGO MODERADO">
      <formula>NOT(ISERROR(SEARCH("RIESGO MODERADO",BE180)))</formula>
    </cfRule>
    <cfRule type="containsText" dxfId="373" priority="448" operator="containsText" text="RIESGO BAJO">
      <formula>NOT(ISERROR(SEARCH("RIESGO BAJO",BE180)))</formula>
    </cfRule>
  </conditionalFormatting>
  <conditionalFormatting sqref="BF179">
    <cfRule type="containsText" dxfId="372" priority="441" operator="containsText" text="RIESGO EXTREMO">
      <formula>NOT(ISERROR(SEARCH("RIESGO EXTREMO",BF179)))</formula>
    </cfRule>
    <cfRule type="containsText" dxfId="371" priority="442" operator="containsText" text="RIESGO ALTO">
      <formula>NOT(ISERROR(SEARCH("RIESGO ALTO",BF179)))</formula>
    </cfRule>
    <cfRule type="containsText" dxfId="370" priority="443" operator="containsText" text="RIESGO MODERADO">
      <formula>NOT(ISERROR(SEARCH("RIESGO MODERADO",BF179)))</formula>
    </cfRule>
    <cfRule type="containsText" dxfId="369" priority="444" operator="containsText" text="RIESGO BAJO">
      <formula>NOT(ISERROR(SEARCH("RIESGO BAJO",BF179)))</formula>
    </cfRule>
  </conditionalFormatting>
  <conditionalFormatting sqref="BG179">
    <cfRule type="containsText" dxfId="368" priority="437" operator="containsText" text="RIESGO EXTREMO">
      <formula>NOT(ISERROR(SEARCH("RIESGO EXTREMO",BG179)))</formula>
    </cfRule>
    <cfRule type="containsText" dxfId="367" priority="438" operator="containsText" text="RIESGO ALTO">
      <formula>NOT(ISERROR(SEARCH("RIESGO ALTO",BG179)))</formula>
    </cfRule>
    <cfRule type="containsText" dxfId="366" priority="439" operator="containsText" text="RIESGO MODERADO">
      <formula>NOT(ISERROR(SEARCH("RIESGO MODERADO",BG179)))</formula>
    </cfRule>
    <cfRule type="containsText" dxfId="365" priority="440" operator="containsText" text="RIESGO BAJO">
      <formula>NOT(ISERROR(SEARCH("RIESGO BAJO",BG179)))</formula>
    </cfRule>
  </conditionalFormatting>
  <conditionalFormatting sqref="BH179">
    <cfRule type="containsText" dxfId="364" priority="433" operator="containsText" text="RIESGO EXTREMO">
      <formula>NOT(ISERROR(SEARCH("RIESGO EXTREMO",BH179)))</formula>
    </cfRule>
    <cfRule type="containsText" dxfId="363" priority="434" operator="containsText" text="RIESGO ALTO">
      <formula>NOT(ISERROR(SEARCH("RIESGO ALTO",BH179)))</formula>
    </cfRule>
    <cfRule type="containsText" dxfId="362" priority="435" operator="containsText" text="RIESGO MODERADO">
      <formula>NOT(ISERROR(SEARCH("RIESGO MODERADO",BH179)))</formula>
    </cfRule>
    <cfRule type="containsText" dxfId="361" priority="436" operator="containsText" text="RIESGO BAJO">
      <formula>NOT(ISERROR(SEARCH("RIESGO BAJO",BH179)))</formula>
    </cfRule>
  </conditionalFormatting>
  <conditionalFormatting sqref="BI179">
    <cfRule type="containsText" dxfId="360" priority="429" operator="containsText" text="RIESGO EXTREMO">
      <formula>NOT(ISERROR(SEARCH("RIESGO EXTREMO",BI179)))</formula>
    </cfRule>
    <cfRule type="containsText" dxfId="359" priority="430" operator="containsText" text="RIESGO ALTO">
      <formula>NOT(ISERROR(SEARCH("RIESGO ALTO",BI179)))</formula>
    </cfRule>
    <cfRule type="containsText" dxfId="358" priority="431" operator="containsText" text="RIESGO MODERADO">
      <formula>NOT(ISERROR(SEARCH("RIESGO MODERADO",BI179)))</formula>
    </cfRule>
    <cfRule type="containsText" dxfId="357" priority="432" operator="containsText" text="RIESGO BAJO">
      <formula>NOT(ISERROR(SEARCH("RIESGO BAJO",BI179)))</formula>
    </cfRule>
  </conditionalFormatting>
  <conditionalFormatting sqref="BJ179">
    <cfRule type="containsText" dxfId="356" priority="425" operator="containsText" text="RIESGO EXTREMO">
      <formula>NOT(ISERROR(SEARCH("RIESGO EXTREMO",BJ179)))</formula>
    </cfRule>
    <cfRule type="containsText" dxfId="355" priority="426" operator="containsText" text="RIESGO ALTO">
      <formula>NOT(ISERROR(SEARCH("RIESGO ALTO",BJ179)))</formula>
    </cfRule>
    <cfRule type="containsText" dxfId="354" priority="427" operator="containsText" text="RIESGO MODERADO">
      <formula>NOT(ISERROR(SEARCH("RIESGO MODERADO",BJ179)))</formula>
    </cfRule>
    <cfRule type="containsText" dxfId="353" priority="428" operator="containsText" text="RIESGO BAJO">
      <formula>NOT(ISERROR(SEARCH("RIESGO BAJO",BJ179)))</formula>
    </cfRule>
  </conditionalFormatting>
  <conditionalFormatting sqref="Q183:Q185">
    <cfRule type="containsText" dxfId="352" priority="421" operator="containsText" text="RIESGO EXTREMO">
      <formula>NOT(ISERROR(SEARCH("RIESGO EXTREMO",Q183)))</formula>
    </cfRule>
    <cfRule type="containsText" dxfId="351" priority="422" operator="containsText" text="RIESGO ALTO">
      <formula>NOT(ISERROR(SEARCH("RIESGO ALTO",Q183)))</formula>
    </cfRule>
    <cfRule type="containsText" dxfId="350" priority="423" operator="containsText" text="RIESGO MODERADO">
      <formula>NOT(ISERROR(SEARCH("RIESGO MODERADO",Q183)))</formula>
    </cfRule>
    <cfRule type="containsText" dxfId="349" priority="424" operator="containsText" text="RIESGO BAJO">
      <formula>NOT(ISERROR(SEARCH("RIESGO BAJO",Q183)))</formula>
    </cfRule>
  </conditionalFormatting>
  <conditionalFormatting sqref="AZ183:BA183 AZ184:AZ185">
    <cfRule type="containsText" dxfId="348" priority="417" operator="containsText" text="RIESGO EXTREMO">
      <formula>NOT(ISERROR(SEARCH("RIESGO EXTREMO",AZ183)))</formula>
    </cfRule>
    <cfRule type="containsText" dxfId="347" priority="418" operator="containsText" text="RIESGO ALTO">
      <formula>NOT(ISERROR(SEARCH("RIESGO ALTO",AZ183)))</formula>
    </cfRule>
    <cfRule type="containsText" dxfId="346" priority="419" operator="containsText" text="RIESGO MODERADO">
      <formula>NOT(ISERROR(SEARCH("RIESGO MODERADO",AZ183)))</formula>
    </cfRule>
    <cfRule type="containsText" dxfId="345" priority="420" operator="containsText" text="RIESGO BAJO">
      <formula>NOT(ISERROR(SEARCH("RIESGO BAJO",AZ183)))</formula>
    </cfRule>
  </conditionalFormatting>
  <conditionalFormatting sqref="I183:I184">
    <cfRule type="expression" dxfId="344" priority="416">
      <formula>EXACT(F183,"Seguridad_de_la_informacion")</formula>
    </cfRule>
  </conditionalFormatting>
  <conditionalFormatting sqref="J183:J186">
    <cfRule type="expression" dxfId="343" priority="415">
      <formula>EXACT(F183,"Seguridad_de_la_informacion")</formula>
    </cfRule>
  </conditionalFormatting>
  <conditionalFormatting sqref="BB184:BB186 BE183:BE186 BC183:BC184">
    <cfRule type="containsText" dxfId="342" priority="411" operator="containsText" text="RIESGO EXTREMO">
      <formula>NOT(ISERROR(SEARCH("RIESGO EXTREMO",BB183)))</formula>
    </cfRule>
    <cfRule type="containsText" dxfId="341" priority="412" operator="containsText" text="RIESGO ALTO">
      <formula>NOT(ISERROR(SEARCH("RIESGO ALTO",BB183)))</formula>
    </cfRule>
    <cfRule type="containsText" dxfId="340" priority="413" operator="containsText" text="RIESGO MODERADO">
      <formula>NOT(ISERROR(SEARCH("RIESGO MODERADO",BB183)))</formula>
    </cfRule>
    <cfRule type="containsText" dxfId="339" priority="414" operator="containsText" text="RIESGO BAJO">
      <formula>NOT(ISERROR(SEARCH("RIESGO BAJO",BB183)))</formula>
    </cfRule>
  </conditionalFormatting>
  <conditionalFormatting sqref="BH184:BI184">
    <cfRule type="containsText" dxfId="338" priority="407" operator="containsText" text="RIESGO EXTREMO">
      <formula>NOT(ISERROR(SEARCH("RIESGO EXTREMO",BH184)))</formula>
    </cfRule>
    <cfRule type="containsText" dxfId="337" priority="408" operator="containsText" text="RIESGO ALTO">
      <formula>NOT(ISERROR(SEARCH("RIESGO ALTO",BH184)))</formula>
    </cfRule>
    <cfRule type="containsText" dxfId="336" priority="409" operator="containsText" text="RIESGO MODERADO">
      <formula>NOT(ISERROR(SEARCH("RIESGO MODERADO",BH184)))</formula>
    </cfRule>
    <cfRule type="containsText" dxfId="335" priority="410" operator="containsText" text="RIESGO BAJO">
      <formula>NOT(ISERROR(SEARCH("RIESGO BAJO",BH184)))</formula>
    </cfRule>
  </conditionalFormatting>
  <conditionalFormatting sqref="BB183">
    <cfRule type="containsText" dxfId="334" priority="403" operator="containsText" text="RIESGO EXTREMO">
      <formula>NOT(ISERROR(SEARCH("RIESGO EXTREMO",BB183)))</formula>
    </cfRule>
    <cfRule type="containsText" dxfId="333" priority="404" operator="containsText" text="RIESGO ALTO">
      <formula>NOT(ISERROR(SEARCH("RIESGO ALTO",BB183)))</formula>
    </cfRule>
    <cfRule type="containsText" dxfId="332" priority="405" operator="containsText" text="RIESGO MODERADO">
      <formula>NOT(ISERROR(SEARCH("RIESGO MODERADO",BB183)))</formula>
    </cfRule>
    <cfRule type="containsText" dxfId="331" priority="406" operator="containsText" text="RIESGO BAJO">
      <formula>NOT(ISERROR(SEARCH("RIESGO BAJO",BB183)))</formula>
    </cfRule>
  </conditionalFormatting>
  <conditionalFormatting sqref="BD184">
    <cfRule type="containsText" dxfId="330" priority="399" operator="containsText" text="RIESGO EXTREMO">
      <formula>NOT(ISERROR(SEARCH("RIESGO EXTREMO",BD184)))</formula>
    </cfRule>
    <cfRule type="containsText" dxfId="329" priority="400" operator="containsText" text="RIESGO ALTO">
      <formula>NOT(ISERROR(SEARCH("RIESGO ALTO",BD184)))</formula>
    </cfRule>
    <cfRule type="containsText" dxfId="328" priority="401" operator="containsText" text="RIESGO MODERADO">
      <formula>NOT(ISERROR(SEARCH("RIESGO MODERADO",BD184)))</formula>
    </cfRule>
    <cfRule type="containsText" dxfId="327" priority="402" operator="containsText" text="RIESGO BAJO">
      <formula>NOT(ISERROR(SEARCH("RIESGO BAJO",BD184)))</formula>
    </cfRule>
  </conditionalFormatting>
  <conditionalFormatting sqref="BD183">
    <cfRule type="containsText" dxfId="326" priority="395" operator="containsText" text="RIESGO EXTREMO">
      <formula>NOT(ISERROR(SEARCH("RIESGO EXTREMO",BD183)))</formula>
    </cfRule>
    <cfRule type="containsText" dxfId="325" priority="396" operator="containsText" text="RIESGO ALTO">
      <formula>NOT(ISERROR(SEARCH("RIESGO ALTO",BD183)))</formula>
    </cfRule>
    <cfRule type="containsText" dxfId="324" priority="397" operator="containsText" text="RIESGO MODERADO">
      <formula>NOT(ISERROR(SEARCH("RIESGO MODERADO",BD183)))</formula>
    </cfRule>
    <cfRule type="containsText" dxfId="323" priority="398" operator="containsText" text="RIESGO BAJO">
      <formula>NOT(ISERROR(SEARCH("RIESGO BAJO",BD183)))</formula>
    </cfRule>
  </conditionalFormatting>
  <conditionalFormatting sqref="BF184">
    <cfRule type="containsText" dxfId="322" priority="391" operator="containsText" text="RIESGO EXTREMO">
      <formula>NOT(ISERROR(SEARCH("RIESGO EXTREMO",BF184)))</formula>
    </cfRule>
    <cfRule type="containsText" dxfId="321" priority="392" operator="containsText" text="RIESGO ALTO">
      <formula>NOT(ISERROR(SEARCH("RIESGO ALTO",BF184)))</formula>
    </cfRule>
    <cfRule type="containsText" dxfId="320" priority="393" operator="containsText" text="RIESGO MODERADO">
      <formula>NOT(ISERROR(SEARCH("RIESGO MODERADO",BF184)))</formula>
    </cfRule>
    <cfRule type="containsText" dxfId="319" priority="394" operator="containsText" text="RIESGO BAJO">
      <formula>NOT(ISERROR(SEARCH("RIESGO BAJO",BF184)))</formula>
    </cfRule>
  </conditionalFormatting>
  <conditionalFormatting sqref="BJ183">
    <cfRule type="containsText" dxfId="318" priority="387" operator="containsText" text="RIESGO EXTREMO">
      <formula>NOT(ISERROR(SEARCH("RIESGO EXTREMO",BJ183)))</formula>
    </cfRule>
    <cfRule type="containsText" dxfId="317" priority="388" operator="containsText" text="RIESGO ALTO">
      <formula>NOT(ISERROR(SEARCH("RIESGO ALTO",BJ183)))</formula>
    </cfRule>
    <cfRule type="containsText" dxfId="316" priority="389" operator="containsText" text="RIESGO MODERADO">
      <formula>NOT(ISERROR(SEARCH("RIESGO MODERADO",BJ183)))</formula>
    </cfRule>
    <cfRule type="containsText" dxfId="315" priority="390" operator="containsText" text="RIESGO BAJO">
      <formula>NOT(ISERROR(SEARCH("RIESGO BAJO",BJ183)))</formula>
    </cfRule>
  </conditionalFormatting>
  <conditionalFormatting sqref="BG183">
    <cfRule type="containsText" dxfId="314" priority="383" operator="containsText" text="RIESGO EXTREMO">
      <formula>NOT(ISERROR(SEARCH("RIESGO EXTREMO",BG183)))</formula>
    </cfRule>
    <cfRule type="containsText" dxfId="313" priority="384" operator="containsText" text="RIESGO ALTO">
      <formula>NOT(ISERROR(SEARCH("RIESGO ALTO",BG183)))</formula>
    </cfRule>
    <cfRule type="containsText" dxfId="312" priority="385" operator="containsText" text="RIESGO MODERADO">
      <formula>NOT(ISERROR(SEARCH("RIESGO MODERADO",BG183)))</formula>
    </cfRule>
    <cfRule type="containsText" dxfId="311" priority="386" operator="containsText" text="RIESGO BAJO">
      <formula>NOT(ISERROR(SEARCH("RIESGO BAJO",BG183)))</formula>
    </cfRule>
  </conditionalFormatting>
  <conditionalFormatting sqref="BH183">
    <cfRule type="containsText" dxfId="310" priority="379" operator="containsText" text="RIESGO EXTREMO">
      <formula>NOT(ISERROR(SEARCH("RIESGO EXTREMO",BH183)))</formula>
    </cfRule>
    <cfRule type="containsText" dxfId="309" priority="380" operator="containsText" text="RIESGO ALTO">
      <formula>NOT(ISERROR(SEARCH("RIESGO ALTO",BH183)))</formula>
    </cfRule>
    <cfRule type="containsText" dxfId="308" priority="381" operator="containsText" text="RIESGO MODERADO">
      <formula>NOT(ISERROR(SEARCH("RIESGO MODERADO",BH183)))</formula>
    </cfRule>
    <cfRule type="containsText" dxfId="307" priority="382" operator="containsText" text="RIESGO BAJO">
      <formula>NOT(ISERROR(SEARCH("RIESGO BAJO",BH183)))</formula>
    </cfRule>
  </conditionalFormatting>
  <conditionalFormatting sqref="BI183">
    <cfRule type="containsText" dxfId="306" priority="375" operator="containsText" text="RIESGO EXTREMO">
      <formula>NOT(ISERROR(SEARCH("RIESGO EXTREMO",BI183)))</formula>
    </cfRule>
    <cfRule type="containsText" dxfId="305" priority="376" operator="containsText" text="RIESGO ALTO">
      <formula>NOT(ISERROR(SEARCH("RIESGO ALTO",BI183)))</formula>
    </cfRule>
    <cfRule type="containsText" dxfId="304" priority="377" operator="containsText" text="RIESGO MODERADO">
      <formula>NOT(ISERROR(SEARCH("RIESGO MODERADO",BI183)))</formula>
    </cfRule>
    <cfRule type="containsText" dxfId="303" priority="378" operator="containsText" text="RIESGO BAJO">
      <formula>NOT(ISERROR(SEARCH("RIESGO BAJO",BI183)))</formula>
    </cfRule>
  </conditionalFormatting>
  <conditionalFormatting sqref="BC187:BD188 BB187:BB189 BE187:BE189">
    <cfRule type="containsText" dxfId="302" priority="371" operator="containsText" text="RIESGO EXTREMO">
      <formula>NOT(ISERROR(SEARCH("RIESGO EXTREMO",BB187)))</formula>
    </cfRule>
    <cfRule type="containsText" dxfId="301" priority="372" operator="containsText" text="RIESGO ALTO">
      <formula>NOT(ISERROR(SEARCH("RIESGO ALTO",BB187)))</formula>
    </cfRule>
    <cfRule type="containsText" dxfId="300" priority="373" operator="containsText" text="RIESGO MODERADO">
      <formula>NOT(ISERROR(SEARCH("RIESGO MODERADO",BB187)))</formula>
    </cfRule>
    <cfRule type="containsText" dxfId="299" priority="374" operator="containsText" text="RIESGO BAJO">
      <formula>NOT(ISERROR(SEARCH("RIESGO BAJO",BB187)))</formula>
    </cfRule>
  </conditionalFormatting>
  <conditionalFormatting sqref="BG187">
    <cfRule type="containsText" dxfId="298" priority="367" operator="containsText" text="RIESGO EXTREMO">
      <formula>NOT(ISERROR(SEARCH("RIESGO EXTREMO",BG187)))</formula>
    </cfRule>
    <cfRule type="containsText" dxfId="297" priority="368" operator="containsText" text="RIESGO ALTO">
      <formula>NOT(ISERROR(SEARCH("RIESGO ALTO",BG187)))</formula>
    </cfRule>
    <cfRule type="containsText" dxfId="296" priority="369" operator="containsText" text="RIESGO MODERADO">
      <formula>NOT(ISERROR(SEARCH("RIESGO MODERADO",BG187)))</formula>
    </cfRule>
    <cfRule type="containsText" dxfId="295" priority="370" operator="containsText" text="RIESGO BAJO">
      <formula>NOT(ISERROR(SEARCH("RIESGO BAJO",BG187)))</formula>
    </cfRule>
  </conditionalFormatting>
  <conditionalFormatting sqref="BH187:BJ187">
    <cfRule type="containsText" dxfId="294" priority="363" operator="containsText" text="RIESGO EXTREMO">
      <formula>NOT(ISERROR(SEARCH("RIESGO EXTREMO",BH187)))</formula>
    </cfRule>
    <cfRule type="containsText" dxfId="293" priority="364" operator="containsText" text="RIESGO ALTO">
      <formula>NOT(ISERROR(SEARCH("RIESGO ALTO",BH187)))</formula>
    </cfRule>
    <cfRule type="containsText" dxfId="292" priority="365" operator="containsText" text="RIESGO MODERADO">
      <formula>NOT(ISERROR(SEARCH("RIESGO MODERADO",BH187)))</formula>
    </cfRule>
    <cfRule type="containsText" dxfId="291" priority="366" operator="containsText" text="RIESGO BAJO">
      <formula>NOT(ISERROR(SEARCH("RIESGO BAJO",BH187)))</formula>
    </cfRule>
  </conditionalFormatting>
  <conditionalFormatting sqref="BB191 BE191">
    <cfRule type="containsText" dxfId="290" priority="359" operator="containsText" text="RIESGO EXTREMO">
      <formula>NOT(ISERROR(SEARCH("RIESGO EXTREMO",BB191)))</formula>
    </cfRule>
    <cfRule type="containsText" dxfId="289" priority="360" operator="containsText" text="RIESGO ALTO">
      <formula>NOT(ISERROR(SEARCH("RIESGO ALTO",BB191)))</formula>
    </cfRule>
    <cfRule type="containsText" dxfId="288" priority="361" operator="containsText" text="RIESGO MODERADO">
      <formula>NOT(ISERROR(SEARCH("RIESGO MODERADO",BB191)))</formula>
    </cfRule>
    <cfRule type="containsText" dxfId="287" priority="362" operator="containsText" text="RIESGO BAJO">
      <formula>NOT(ISERROR(SEARCH("RIESGO BAJO",BB191)))</formula>
    </cfRule>
  </conditionalFormatting>
  <conditionalFormatting sqref="BB192 BE192">
    <cfRule type="containsText" dxfId="286" priority="355" operator="containsText" text="RIESGO EXTREMO">
      <formula>NOT(ISERROR(SEARCH("RIESGO EXTREMO",BB192)))</formula>
    </cfRule>
    <cfRule type="containsText" dxfId="285" priority="356" operator="containsText" text="RIESGO ALTO">
      <formula>NOT(ISERROR(SEARCH("RIESGO ALTO",BB192)))</formula>
    </cfRule>
    <cfRule type="containsText" dxfId="284" priority="357" operator="containsText" text="RIESGO MODERADO">
      <formula>NOT(ISERROR(SEARCH("RIESGO MODERADO",BB192)))</formula>
    </cfRule>
    <cfRule type="containsText" dxfId="283" priority="358" operator="containsText" text="RIESGO BAJO">
      <formula>NOT(ISERROR(SEARCH("RIESGO BAJO",BB192)))</formula>
    </cfRule>
  </conditionalFormatting>
  <conditionalFormatting sqref="BG191">
    <cfRule type="containsText" dxfId="282" priority="351" operator="containsText" text="RIESGO EXTREMO">
      <formula>NOT(ISERROR(SEARCH("RIESGO EXTREMO",BG191)))</formula>
    </cfRule>
    <cfRule type="containsText" dxfId="281" priority="352" operator="containsText" text="RIESGO ALTO">
      <formula>NOT(ISERROR(SEARCH("RIESGO ALTO",BG191)))</formula>
    </cfRule>
    <cfRule type="containsText" dxfId="280" priority="353" operator="containsText" text="RIESGO MODERADO">
      <formula>NOT(ISERROR(SEARCH("RIESGO MODERADO",BG191)))</formula>
    </cfRule>
    <cfRule type="containsText" dxfId="279" priority="354" operator="containsText" text="RIESGO BAJO">
      <formula>NOT(ISERROR(SEARCH("RIESGO BAJO",BG191)))</formula>
    </cfRule>
  </conditionalFormatting>
  <conditionalFormatting sqref="BH191:BJ191">
    <cfRule type="containsText" dxfId="278" priority="347" operator="containsText" text="RIESGO EXTREMO">
      <formula>NOT(ISERROR(SEARCH("RIESGO EXTREMO",BH191)))</formula>
    </cfRule>
    <cfRule type="containsText" dxfId="277" priority="348" operator="containsText" text="RIESGO ALTO">
      <formula>NOT(ISERROR(SEARCH("RIESGO ALTO",BH191)))</formula>
    </cfRule>
    <cfRule type="containsText" dxfId="276" priority="349" operator="containsText" text="RIESGO MODERADO">
      <formula>NOT(ISERROR(SEARCH("RIESGO MODERADO",BH191)))</formula>
    </cfRule>
    <cfRule type="containsText" dxfId="275" priority="350" operator="containsText" text="RIESGO BAJO">
      <formula>NOT(ISERROR(SEARCH("RIESGO BAJO",BH191)))</formula>
    </cfRule>
  </conditionalFormatting>
  <conditionalFormatting sqref="Q195:Q197 BC195:BD196 BB195:BB198 BE195:BE198">
    <cfRule type="containsText" dxfId="274" priority="273" operator="containsText" text="RIESGO EXTREMO">
      <formula>NOT(ISERROR(SEARCH("RIESGO EXTREMO",Q195)))</formula>
    </cfRule>
    <cfRule type="containsText" dxfId="273" priority="274" operator="containsText" text="RIESGO ALTO">
      <formula>NOT(ISERROR(SEARCH("RIESGO ALTO",Q195)))</formula>
    </cfRule>
    <cfRule type="containsText" dxfId="272" priority="275" operator="containsText" text="RIESGO MODERADO">
      <formula>NOT(ISERROR(SEARCH("RIESGO MODERADO",Q195)))</formula>
    </cfRule>
    <cfRule type="containsText" dxfId="271" priority="276" operator="containsText" text="RIESGO BAJO">
      <formula>NOT(ISERROR(SEARCH("RIESGO BAJO",Q195)))</formula>
    </cfRule>
  </conditionalFormatting>
  <conditionalFormatting sqref="I195:I196">
    <cfRule type="expression" dxfId="270" priority="272">
      <formula>EXACT(F195,"Seguridad_de_la_informacion")</formula>
    </cfRule>
  </conditionalFormatting>
  <conditionalFormatting sqref="J195:J198">
    <cfRule type="expression" dxfId="269" priority="271">
      <formula>EXACT(F195,"Seguridad_de_la_informacion")</formula>
    </cfRule>
  </conditionalFormatting>
  <conditionalFormatting sqref="AZ195:BA195 AZ196:AZ197">
    <cfRule type="containsText" dxfId="268" priority="267" operator="containsText" text="RIESGO EXTREMO">
      <formula>NOT(ISERROR(SEARCH("RIESGO EXTREMO",AZ195)))</formula>
    </cfRule>
    <cfRule type="containsText" dxfId="267" priority="268" operator="containsText" text="RIESGO ALTO">
      <formula>NOT(ISERROR(SEARCH("RIESGO ALTO",AZ195)))</formula>
    </cfRule>
    <cfRule type="containsText" dxfId="266" priority="269" operator="containsText" text="RIESGO MODERADO">
      <formula>NOT(ISERROR(SEARCH("RIESGO MODERADO",AZ195)))</formula>
    </cfRule>
    <cfRule type="containsText" dxfId="265" priority="270" operator="containsText" text="RIESGO BAJO">
      <formula>NOT(ISERROR(SEARCH("RIESGO BAJO",AZ195)))</formula>
    </cfRule>
  </conditionalFormatting>
  <conditionalFormatting sqref="BH196:BI196">
    <cfRule type="containsText" dxfId="264" priority="263" operator="containsText" text="RIESGO EXTREMO">
      <formula>NOT(ISERROR(SEARCH("RIESGO EXTREMO",BH196)))</formula>
    </cfRule>
    <cfRule type="containsText" dxfId="263" priority="264" operator="containsText" text="RIESGO ALTO">
      <formula>NOT(ISERROR(SEARCH("RIESGO ALTO",BH196)))</formula>
    </cfRule>
    <cfRule type="containsText" dxfId="262" priority="265" operator="containsText" text="RIESGO MODERADO">
      <formula>NOT(ISERROR(SEARCH("RIESGO MODERADO",BH196)))</formula>
    </cfRule>
    <cfRule type="containsText" dxfId="261" priority="266" operator="containsText" text="RIESGO BAJO">
      <formula>NOT(ISERROR(SEARCH("RIESGO BAJO",BH196)))</formula>
    </cfRule>
  </conditionalFormatting>
  <conditionalFormatting sqref="Q199:Q201 BC199:BD200 BB199:BB202 BE199:BE202">
    <cfRule type="containsText" dxfId="260" priority="259" operator="containsText" text="RIESGO EXTREMO">
      <formula>NOT(ISERROR(SEARCH("RIESGO EXTREMO",Q199)))</formula>
    </cfRule>
    <cfRule type="containsText" dxfId="259" priority="260" operator="containsText" text="RIESGO ALTO">
      <formula>NOT(ISERROR(SEARCH("RIESGO ALTO",Q199)))</formula>
    </cfRule>
    <cfRule type="containsText" dxfId="258" priority="261" operator="containsText" text="RIESGO MODERADO">
      <formula>NOT(ISERROR(SEARCH("RIESGO MODERADO",Q199)))</formula>
    </cfRule>
    <cfRule type="containsText" dxfId="257" priority="262" operator="containsText" text="RIESGO BAJO">
      <formula>NOT(ISERROR(SEARCH("RIESGO BAJO",Q199)))</formula>
    </cfRule>
  </conditionalFormatting>
  <conditionalFormatting sqref="I199:I200">
    <cfRule type="expression" dxfId="256" priority="258">
      <formula>EXACT(F199,"Seguridad_de_la_informacion")</formula>
    </cfRule>
  </conditionalFormatting>
  <conditionalFormatting sqref="J199:J202">
    <cfRule type="expression" dxfId="255" priority="257">
      <formula>EXACT(F199,"Seguridad_de_la_informacion")</formula>
    </cfRule>
  </conditionalFormatting>
  <conditionalFormatting sqref="AZ199:BA199 AZ200:AZ201">
    <cfRule type="containsText" dxfId="254" priority="253" operator="containsText" text="RIESGO EXTREMO">
      <formula>NOT(ISERROR(SEARCH("RIESGO EXTREMO",AZ199)))</formula>
    </cfRule>
    <cfRule type="containsText" dxfId="253" priority="254" operator="containsText" text="RIESGO ALTO">
      <formula>NOT(ISERROR(SEARCH("RIESGO ALTO",AZ199)))</formula>
    </cfRule>
    <cfRule type="containsText" dxfId="252" priority="255" operator="containsText" text="RIESGO MODERADO">
      <formula>NOT(ISERROR(SEARCH("RIESGO MODERADO",AZ199)))</formula>
    </cfRule>
    <cfRule type="containsText" dxfId="251" priority="256" operator="containsText" text="RIESGO BAJO">
      <formula>NOT(ISERROR(SEARCH("RIESGO BAJO",AZ199)))</formula>
    </cfRule>
  </conditionalFormatting>
  <conditionalFormatting sqref="BH199:BI200 BG199 BJ199">
    <cfRule type="containsText" dxfId="250" priority="249" operator="containsText" text="RIESGO EXTREMO">
      <formula>NOT(ISERROR(SEARCH("RIESGO EXTREMO",BG199)))</formula>
    </cfRule>
    <cfRule type="containsText" dxfId="249" priority="250" operator="containsText" text="RIESGO ALTO">
      <formula>NOT(ISERROR(SEARCH("RIESGO ALTO",BG199)))</formula>
    </cfRule>
    <cfRule type="containsText" dxfId="248" priority="251" operator="containsText" text="RIESGO MODERADO">
      <formula>NOT(ISERROR(SEARCH("RIESGO MODERADO",BG199)))</formula>
    </cfRule>
    <cfRule type="containsText" dxfId="247" priority="252" operator="containsText" text="RIESGO BAJO">
      <formula>NOT(ISERROR(SEARCH("RIESGO BAJO",BG199)))</formula>
    </cfRule>
  </conditionalFormatting>
  <conditionalFormatting sqref="Q203:Q205 BC203:BD204 BB203:BB206 BE203:BE206">
    <cfRule type="containsText" dxfId="246" priority="245" operator="containsText" text="RIESGO EXTREMO">
      <formula>NOT(ISERROR(SEARCH("RIESGO EXTREMO",Q203)))</formula>
    </cfRule>
    <cfRule type="containsText" dxfId="245" priority="246" operator="containsText" text="RIESGO ALTO">
      <formula>NOT(ISERROR(SEARCH("RIESGO ALTO",Q203)))</formula>
    </cfRule>
    <cfRule type="containsText" dxfId="244" priority="247" operator="containsText" text="RIESGO MODERADO">
      <formula>NOT(ISERROR(SEARCH("RIESGO MODERADO",Q203)))</formula>
    </cfRule>
    <cfRule type="containsText" dxfId="243" priority="248" operator="containsText" text="RIESGO BAJO">
      <formula>NOT(ISERROR(SEARCH("RIESGO BAJO",Q203)))</formula>
    </cfRule>
  </conditionalFormatting>
  <conditionalFormatting sqref="I203:I204">
    <cfRule type="expression" dxfId="242" priority="244">
      <formula>EXACT(F203,"Seguridad_de_la_informacion")</formula>
    </cfRule>
  </conditionalFormatting>
  <conditionalFormatting sqref="J203:J206">
    <cfRule type="expression" dxfId="241" priority="243">
      <formula>EXACT(F203,"Seguridad_de_la_informacion")</formula>
    </cfRule>
  </conditionalFormatting>
  <conditionalFormatting sqref="AZ203:BA203 AZ204:AZ205">
    <cfRule type="containsText" dxfId="240" priority="239" operator="containsText" text="RIESGO EXTREMO">
      <formula>NOT(ISERROR(SEARCH("RIESGO EXTREMO",AZ203)))</formula>
    </cfRule>
    <cfRule type="containsText" dxfId="239" priority="240" operator="containsText" text="RIESGO ALTO">
      <formula>NOT(ISERROR(SEARCH("RIESGO ALTO",AZ203)))</formula>
    </cfRule>
    <cfRule type="containsText" dxfId="238" priority="241" operator="containsText" text="RIESGO MODERADO">
      <formula>NOT(ISERROR(SEARCH("RIESGO MODERADO",AZ203)))</formula>
    </cfRule>
    <cfRule type="containsText" dxfId="237" priority="242" operator="containsText" text="RIESGO BAJO">
      <formula>NOT(ISERROR(SEARCH("RIESGO BAJO",AZ203)))</formula>
    </cfRule>
  </conditionalFormatting>
  <conditionalFormatting sqref="BH203:BI204 BG203 BJ203">
    <cfRule type="containsText" dxfId="236" priority="235" operator="containsText" text="RIESGO EXTREMO">
      <formula>NOT(ISERROR(SEARCH("RIESGO EXTREMO",BG203)))</formula>
    </cfRule>
    <cfRule type="containsText" dxfId="235" priority="236" operator="containsText" text="RIESGO ALTO">
      <formula>NOT(ISERROR(SEARCH("RIESGO ALTO",BG203)))</formula>
    </cfRule>
    <cfRule type="containsText" dxfId="234" priority="237" operator="containsText" text="RIESGO MODERADO">
      <formula>NOT(ISERROR(SEARCH("RIESGO MODERADO",BG203)))</formula>
    </cfRule>
    <cfRule type="containsText" dxfId="233" priority="238" operator="containsText" text="RIESGO BAJO">
      <formula>NOT(ISERROR(SEARCH("RIESGO BAJO",BG203)))</formula>
    </cfRule>
  </conditionalFormatting>
  <conditionalFormatting sqref="Q207:Q209 BC207:BD208 BB207:BB210 BE207:BE210">
    <cfRule type="containsText" dxfId="232" priority="231" operator="containsText" text="RIESGO EXTREMO">
      <formula>NOT(ISERROR(SEARCH("RIESGO EXTREMO",Q207)))</formula>
    </cfRule>
    <cfRule type="containsText" dxfId="231" priority="232" operator="containsText" text="RIESGO ALTO">
      <formula>NOT(ISERROR(SEARCH("RIESGO ALTO",Q207)))</formula>
    </cfRule>
    <cfRule type="containsText" dxfId="230" priority="233" operator="containsText" text="RIESGO MODERADO">
      <formula>NOT(ISERROR(SEARCH("RIESGO MODERADO",Q207)))</formula>
    </cfRule>
    <cfRule type="containsText" dxfId="229" priority="234" operator="containsText" text="RIESGO BAJO">
      <formula>NOT(ISERROR(SEARCH("RIESGO BAJO",Q207)))</formula>
    </cfRule>
  </conditionalFormatting>
  <conditionalFormatting sqref="I207:I208">
    <cfRule type="expression" dxfId="228" priority="230">
      <formula>EXACT(F207,"Seguridad_de_la_informacion")</formula>
    </cfRule>
  </conditionalFormatting>
  <conditionalFormatting sqref="J207:J210">
    <cfRule type="expression" dxfId="227" priority="229">
      <formula>EXACT(F207,"Seguridad_de_la_informacion")</formula>
    </cfRule>
  </conditionalFormatting>
  <conditionalFormatting sqref="AZ207:BA207 AZ208:AZ209">
    <cfRule type="containsText" dxfId="226" priority="225" operator="containsText" text="RIESGO EXTREMO">
      <formula>NOT(ISERROR(SEARCH("RIESGO EXTREMO",AZ207)))</formula>
    </cfRule>
    <cfRule type="containsText" dxfId="225" priority="226" operator="containsText" text="RIESGO ALTO">
      <formula>NOT(ISERROR(SEARCH("RIESGO ALTO",AZ207)))</formula>
    </cfRule>
    <cfRule type="containsText" dxfId="224" priority="227" operator="containsText" text="RIESGO MODERADO">
      <formula>NOT(ISERROR(SEARCH("RIESGO MODERADO",AZ207)))</formula>
    </cfRule>
    <cfRule type="containsText" dxfId="223" priority="228" operator="containsText" text="RIESGO BAJO">
      <formula>NOT(ISERROR(SEARCH("RIESGO BAJO",AZ207)))</formula>
    </cfRule>
  </conditionalFormatting>
  <conditionalFormatting sqref="BH207:BI208 BG207 BJ207">
    <cfRule type="containsText" dxfId="222" priority="221" operator="containsText" text="RIESGO EXTREMO">
      <formula>NOT(ISERROR(SEARCH("RIESGO EXTREMO",BG207)))</formula>
    </cfRule>
    <cfRule type="containsText" dxfId="221" priority="222" operator="containsText" text="RIESGO ALTO">
      <formula>NOT(ISERROR(SEARCH("RIESGO ALTO",BG207)))</formula>
    </cfRule>
    <cfRule type="containsText" dxfId="220" priority="223" operator="containsText" text="RIESGO MODERADO">
      <formula>NOT(ISERROR(SEARCH("RIESGO MODERADO",BG207)))</formula>
    </cfRule>
    <cfRule type="containsText" dxfId="219" priority="224" operator="containsText" text="RIESGO BAJO">
      <formula>NOT(ISERROR(SEARCH("RIESGO BAJO",BG207)))</formula>
    </cfRule>
  </conditionalFormatting>
  <conditionalFormatting sqref="Q211:Q213 BB211:BE211">
    <cfRule type="containsText" dxfId="218" priority="217" operator="containsText" text="RIESGO EXTREMO">
      <formula>NOT(ISERROR(SEARCH("RIESGO EXTREMO",Q211)))</formula>
    </cfRule>
    <cfRule type="containsText" dxfId="217" priority="218" operator="containsText" text="RIESGO ALTO">
      <formula>NOT(ISERROR(SEARCH("RIESGO ALTO",Q211)))</formula>
    </cfRule>
    <cfRule type="containsText" dxfId="216" priority="219" operator="containsText" text="RIESGO MODERADO">
      <formula>NOT(ISERROR(SEARCH("RIESGO MODERADO",Q211)))</formula>
    </cfRule>
    <cfRule type="containsText" dxfId="215" priority="220" operator="containsText" text="RIESGO BAJO">
      <formula>NOT(ISERROR(SEARCH("RIESGO BAJO",Q211)))</formula>
    </cfRule>
  </conditionalFormatting>
  <conditionalFormatting sqref="I211:I212">
    <cfRule type="expression" dxfId="214" priority="216">
      <formula>EXACT(F211,"Seguridad_de_la_informacion")</formula>
    </cfRule>
  </conditionalFormatting>
  <conditionalFormatting sqref="J211:J214">
    <cfRule type="expression" dxfId="213" priority="215">
      <formula>EXACT(F211,"Seguridad_de_la_informacion")</formula>
    </cfRule>
  </conditionalFormatting>
  <conditionalFormatting sqref="AZ211:BA211 AZ212:AZ213">
    <cfRule type="containsText" dxfId="212" priority="211" operator="containsText" text="RIESGO EXTREMO">
      <formula>NOT(ISERROR(SEARCH("RIESGO EXTREMO",AZ211)))</formula>
    </cfRule>
    <cfRule type="containsText" dxfId="211" priority="212" operator="containsText" text="RIESGO ALTO">
      <formula>NOT(ISERROR(SEARCH("RIESGO ALTO",AZ211)))</formula>
    </cfRule>
    <cfRule type="containsText" dxfId="210" priority="213" operator="containsText" text="RIESGO MODERADO">
      <formula>NOT(ISERROR(SEARCH("RIESGO MODERADO",AZ211)))</formula>
    </cfRule>
    <cfRule type="containsText" dxfId="209" priority="214" operator="containsText" text="RIESGO BAJO">
      <formula>NOT(ISERROR(SEARCH("RIESGO BAJO",AZ211)))</formula>
    </cfRule>
  </conditionalFormatting>
  <conditionalFormatting sqref="BG211">
    <cfRule type="containsText" dxfId="208" priority="207" operator="containsText" text="RIESGO EXTREMO">
      <formula>NOT(ISERROR(SEARCH("RIESGO EXTREMO",BG211)))</formula>
    </cfRule>
    <cfRule type="containsText" dxfId="207" priority="208" operator="containsText" text="RIESGO ALTO">
      <formula>NOT(ISERROR(SEARCH("RIESGO ALTO",BG211)))</formula>
    </cfRule>
    <cfRule type="containsText" dxfId="206" priority="209" operator="containsText" text="RIESGO MODERADO">
      <formula>NOT(ISERROR(SEARCH("RIESGO MODERADO",BG211)))</formula>
    </cfRule>
    <cfRule type="containsText" dxfId="205" priority="210" operator="containsText" text="RIESGO BAJO">
      <formula>NOT(ISERROR(SEARCH("RIESGO BAJO",BG211)))</formula>
    </cfRule>
  </conditionalFormatting>
  <conditionalFormatting sqref="BH211:BJ211">
    <cfRule type="containsText" dxfId="204" priority="203" operator="containsText" text="RIESGO EXTREMO">
      <formula>NOT(ISERROR(SEARCH("RIESGO EXTREMO",BH211)))</formula>
    </cfRule>
    <cfRule type="containsText" dxfId="203" priority="204" operator="containsText" text="RIESGO ALTO">
      <formula>NOT(ISERROR(SEARCH("RIESGO ALTO",BH211)))</formula>
    </cfRule>
    <cfRule type="containsText" dxfId="202" priority="205" operator="containsText" text="RIESGO MODERADO">
      <formula>NOT(ISERROR(SEARCH("RIESGO MODERADO",BH211)))</formula>
    </cfRule>
    <cfRule type="containsText" dxfId="201" priority="206" operator="containsText" text="RIESGO BAJO">
      <formula>NOT(ISERROR(SEARCH("RIESGO BAJO",BH211)))</formula>
    </cfRule>
  </conditionalFormatting>
  <conditionalFormatting sqref="Q236:Q238 BC236:BD237 BB236:BB239 BE236:BE239">
    <cfRule type="containsText" dxfId="200" priority="199" operator="containsText" text="RIESGO EXTREMO">
      <formula>NOT(ISERROR(SEARCH("RIESGO EXTREMO",Q236)))</formula>
    </cfRule>
    <cfRule type="containsText" dxfId="199" priority="200" operator="containsText" text="RIESGO ALTO">
      <formula>NOT(ISERROR(SEARCH("RIESGO ALTO",Q236)))</formula>
    </cfRule>
    <cfRule type="containsText" dxfId="198" priority="201" operator="containsText" text="RIESGO MODERADO">
      <formula>NOT(ISERROR(SEARCH("RIESGO MODERADO",Q236)))</formula>
    </cfRule>
    <cfRule type="containsText" dxfId="197" priority="202" operator="containsText" text="RIESGO BAJO">
      <formula>NOT(ISERROR(SEARCH("RIESGO BAJO",Q236)))</formula>
    </cfRule>
  </conditionalFormatting>
  <conditionalFormatting sqref="I236:I237">
    <cfRule type="expression" dxfId="196" priority="198">
      <formula>EXACT(F236,"Seguridad_de_la_informacion")</formula>
    </cfRule>
  </conditionalFormatting>
  <conditionalFormatting sqref="J236:J239">
    <cfRule type="expression" dxfId="195" priority="197">
      <formula>EXACT(F236,"Seguridad_de_la_informacion")</formula>
    </cfRule>
  </conditionalFormatting>
  <conditionalFormatting sqref="AZ236:BA236 AZ237:AZ238">
    <cfRule type="containsText" dxfId="194" priority="193" operator="containsText" text="RIESGO EXTREMO">
      <formula>NOT(ISERROR(SEARCH("RIESGO EXTREMO",AZ236)))</formula>
    </cfRule>
    <cfRule type="containsText" dxfId="193" priority="194" operator="containsText" text="RIESGO ALTO">
      <formula>NOT(ISERROR(SEARCH("RIESGO ALTO",AZ236)))</formula>
    </cfRule>
    <cfRule type="containsText" dxfId="192" priority="195" operator="containsText" text="RIESGO MODERADO">
      <formula>NOT(ISERROR(SEARCH("RIESGO MODERADO",AZ236)))</formula>
    </cfRule>
    <cfRule type="containsText" dxfId="191" priority="196" operator="containsText" text="RIESGO BAJO">
      <formula>NOT(ISERROR(SEARCH("RIESGO BAJO",AZ236)))</formula>
    </cfRule>
  </conditionalFormatting>
  <conditionalFormatting sqref="BH236:BI237 BG236 BJ236">
    <cfRule type="containsText" dxfId="190" priority="189" operator="containsText" text="RIESGO EXTREMO">
      <formula>NOT(ISERROR(SEARCH("RIESGO EXTREMO",BG236)))</formula>
    </cfRule>
    <cfRule type="containsText" dxfId="189" priority="190" operator="containsText" text="RIESGO ALTO">
      <formula>NOT(ISERROR(SEARCH("RIESGO ALTO",BG236)))</formula>
    </cfRule>
    <cfRule type="containsText" dxfId="188" priority="191" operator="containsText" text="RIESGO MODERADO">
      <formula>NOT(ISERROR(SEARCH("RIESGO MODERADO",BG236)))</formula>
    </cfRule>
    <cfRule type="containsText" dxfId="187" priority="192" operator="containsText" text="RIESGO BAJO">
      <formula>NOT(ISERROR(SEARCH("RIESGO BAJO",BG236)))</formula>
    </cfRule>
  </conditionalFormatting>
  <conditionalFormatting sqref="Q215 BB215:BB216 BE215:BF215 BE216">
    <cfRule type="containsText" dxfId="186" priority="185" operator="containsText" text="RIESGO EXTREMO">
      <formula>NOT(ISERROR(SEARCH("RIESGO EXTREMO",Q215)))</formula>
    </cfRule>
    <cfRule type="containsText" dxfId="185" priority="186" operator="containsText" text="RIESGO ALTO">
      <formula>NOT(ISERROR(SEARCH("RIESGO ALTO",Q215)))</formula>
    </cfRule>
    <cfRule type="containsText" dxfId="184" priority="187" operator="containsText" text="RIESGO MODERADO">
      <formula>NOT(ISERROR(SEARCH("RIESGO MODERADO",Q215)))</formula>
    </cfRule>
    <cfRule type="containsText" dxfId="183" priority="188" operator="containsText" text="RIESGO BAJO">
      <formula>NOT(ISERROR(SEARCH("RIESGO BAJO",Q215)))</formula>
    </cfRule>
  </conditionalFormatting>
  <conditionalFormatting sqref="I215:I216">
    <cfRule type="expression" dxfId="182" priority="184">
      <formula>EXACT(F215,"Seguridad_de_la_informacion")</formula>
    </cfRule>
  </conditionalFormatting>
  <conditionalFormatting sqref="AZ215:BA215">
    <cfRule type="containsText" dxfId="181" priority="179" operator="containsText" text="RIESGO EXTREMO">
      <formula>NOT(ISERROR(SEARCH("RIESGO EXTREMO",AZ215)))</formula>
    </cfRule>
    <cfRule type="containsText" dxfId="180" priority="180" operator="containsText" text="RIESGO ALTO">
      <formula>NOT(ISERROR(SEARCH("RIESGO ALTO",AZ215)))</formula>
    </cfRule>
    <cfRule type="containsText" dxfId="179" priority="181" operator="containsText" text="RIESGO MODERADO">
      <formula>NOT(ISERROR(SEARCH("RIESGO MODERADO",AZ215)))</formula>
    </cfRule>
    <cfRule type="containsText" dxfId="178" priority="182" operator="containsText" text="RIESGO BAJO">
      <formula>NOT(ISERROR(SEARCH("RIESGO BAJO",AZ215)))</formula>
    </cfRule>
  </conditionalFormatting>
  <conditionalFormatting sqref="BK215:BK216">
    <cfRule type="containsText" dxfId="177" priority="175" operator="containsText" text="RIESGO EXTREMO">
      <formula>NOT(ISERROR(SEARCH("RIESGO EXTREMO",BK215)))</formula>
    </cfRule>
    <cfRule type="containsText" dxfId="176" priority="176" operator="containsText" text="RIESGO ALTO">
      <formula>NOT(ISERROR(SEARCH("RIESGO ALTO",BK215)))</formula>
    </cfRule>
    <cfRule type="containsText" dxfId="175" priority="177" operator="containsText" text="RIESGO MODERADO">
      <formula>NOT(ISERROR(SEARCH("RIESGO MODERADO",BK215)))</formula>
    </cfRule>
    <cfRule type="containsText" dxfId="174" priority="178" operator="containsText" text="RIESGO BAJO">
      <formula>NOT(ISERROR(SEARCH("RIESGO BAJO",BK215)))</formula>
    </cfRule>
  </conditionalFormatting>
  <conditionalFormatting sqref="BE217:BE218">
    <cfRule type="containsText" dxfId="173" priority="171" operator="containsText" text="RIESGO EXTREMO">
      <formula>NOT(ISERROR(SEARCH("RIESGO EXTREMO",BE217)))</formula>
    </cfRule>
    <cfRule type="containsText" dxfId="172" priority="172" operator="containsText" text="RIESGO ALTO">
      <formula>NOT(ISERROR(SEARCH("RIESGO ALTO",BE217)))</formula>
    </cfRule>
    <cfRule type="containsText" dxfId="171" priority="173" operator="containsText" text="RIESGO MODERADO">
      <formula>NOT(ISERROR(SEARCH("RIESGO MODERADO",BE217)))</formula>
    </cfRule>
    <cfRule type="containsText" dxfId="170" priority="174" operator="containsText" text="RIESGO BAJO">
      <formula>NOT(ISERROR(SEARCH("RIESGO BAJO",BE217)))</formula>
    </cfRule>
  </conditionalFormatting>
  <conditionalFormatting sqref="I217:I218">
    <cfRule type="expression" dxfId="169" priority="170">
      <formula>EXACT(F217,"Seguridad_de_la_informacion")</formula>
    </cfRule>
  </conditionalFormatting>
  <conditionalFormatting sqref="BK217:BK218">
    <cfRule type="containsText" dxfId="168" priority="166" operator="containsText" text="RIESGO EXTREMO">
      <formula>NOT(ISERROR(SEARCH("RIESGO EXTREMO",BK217)))</formula>
    </cfRule>
    <cfRule type="containsText" dxfId="167" priority="167" operator="containsText" text="RIESGO ALTO">
      <formula>NOT(ISERROR(SEARCH("RIESGO ALTO",BK217)))</formula>
    </cfRule>
    <cfRule type="containsText" dxfId="166" priority="168" operator="containsText" text="RIESGO MODERADO">
      <formula>NOT(ISERROR(SEARCH("RIESGO MODERADO",BK217)))</formula>
    </cfRule>
    <cfRule type="containsText" dxfId="165" priority="169" operator="containsText" text="RIESGO BAJO">
      <formula>NOT(ISERROR(SEARCH("RIESGO BAJO",BK217)))</formula>
    </cfRule>
  </conditionalFormatting>
  <conditionalFormatting sqref="BG215:BJ215">
    <cfRule type="containsText" dxfId="164" priority="162" operator="containsText" text="RIESGO EXTREMO">
      <formula>NOT(ISERROR(SEARCH("RIESGO EXTREMO",BG215)))</formula>
    </cfRule>
    <cfRule type="containsText" dxfId="163" priority="163" operator="containsText" text="RIESGO ALTO">
      <formula>NOT(ISERROR(SEARCH("RIESGO ALTO",BG215)))</formula>
    </cfRule>
    <cfRule type="containsText" dxfId="162" priority="164" operator="containsText" text="RIESGO MODERADO">
      <formula>NOT(ISERROR(SEARCH("RIESGO MODERADO",BG215)))</formula>
    </cfRule>
    <cfRule type="containsText" dxfId="161" priority="165" operator="containsText" text="RIESGO BAJO">
      <formula>NOT(ISERROR(SEARCH("RIESGO BAJO",BG215)))</formula>
    </cfRule>
  </conditionalFormatting>
  <conditionalFormatting sqref="BH216:BI216">
    <cfRule type="containsText" dxfId="160" priority="158" operator="containsText" text="RIESGO EXTREMO">
      <formula>NOT(ISERROR(SEARCH("RIESGO EXTREMO",BH216)))</formula>
    </cfRule>
    <cfRule type="containsText" dxfId="159" priority="159" operator="containsText" text="RIESGO ALTO">
      <formula>NOT(ISERROR(SEARCH("RIESGO ALTO",BH216)))</formula>
    </cfRule>
    <cfRule type="containsText" dxfId="158" priority="160" operator="containsText" text="RIESGO MODERADO">
      <formula>NOT(ISERROR(SEARCH("RIESGO MODERADO",BH216)))</formula>
    </cfRule>
    <cfRule type="containsText" dxfId="157" priority="161" operator="containsText" text="RIESGO BAJO">
      <formula>NOT(ISERROR(SEARCH("RIESGO BAJO",BH216)))</formula>
    </cfRule>
  </conditionalFormatting>
  <conditionalFormatting sqref="BG216">
    <cfRule type="containsText" dxfId="156" priority="154" operator="containsText" text="RIESGO EXTREMO">
      <formula>NOT(ISERROR(SEARCH("RIESGO EXTREMO",BG216)))</formula>
    </cfRule>
    <cfRule type="containsText" dxfId="155" priority="155" operator="containsText" text="RIESGO ALTO">
      <formula>NOT(ISERROR(SEARCH("RIESGO ALTO",BG216)))</formula>
    </cfRule>
    <cfRule type="containsText" dxfId="154" priority="156" operator="containsText" text="RIESGO MODERADO">
      <formula>NOT(ISERROR(SEARCH("RIESGO MODERADO",BG216)))</formula>
    </cfRule>
    <cfRule type="containsText" dxfId="153" priority="157" operator="containsText" text="RIESGO BAJO">
      <formula>NOT(ISERROR(SEARCH("RIESGO BAJO",BG216)))</formula>
    </cfRule>
  </conditionalFormatting>
  <conditionalFormatting sqref="BJ216">
    <cfRule type="containsText" dxfId="152" priority="150" operator="containsText" text="RIESGO EXTREMO">
      <formula>NOT(ISERROR(SEARCH("RIESGO EXTREMO",BJ216)))</formula>
    </cfRule>
    <cfRule type="containsText" dxfId="151" priority="151" operator="containsText" text="RIESGO ALTO">
      <formula>NOT(ISERROR(SEARCH("RIESGO ALTO",BJ216)))</formula>
    </cfRule>
    <cfRule type="containsText" dxfId="150" priority="152" operator="containsText" text="RIESGO MODERADO">
      <formula>NOT(ISERROR(SEARCH("RIESGO MODERADO",BJ216)))</formula>
    </cfRule>
    <cfRule type="containsText" dxfId="149" priority="153" operator="containsText" text="RIESGO BAJO">
      <formula>NOT(ISERROR(SEARCH("RIESGO BAJO",BJ216)))</formula>
    </cfRule>
  </conditionalFormatting>
  <conditionalFormatting sqref="BG217">
    <cfRule type="containsText" dxfId="148" priority="138" operator="containsText" text="RIESGO EXTREMO">
      <formula>NOT(ISERROR(SEARCH("RIESGO EXTREMO",BG217)))</formula>
    </cfRule>
    <cfRule type="containsText" dxfId="147" priority="139" operator="containsText" text="RIESGO ALTO">
      <formula>NOT(ISERROR(SEARCH("RIESGO ALTO",BG217)))</formula>
    </cfRule>
    <cfRule type="containsText" dxfId="146" priority="140" operator="containsText" text="RIESGO MODERADO">
      <formula>NOT(ISERROR(SEARCH("RIESGO MODERADO",BG217)))</formula>
    </cfRule>
    <cfRule type="containsText" dxfId="145" priority="141" operator="containsText" text="RIESGO BAJO">
      <formula>NOT(ISERROR(SEARCH("RIESGO BAJO",BG217)))</formula>
    </cfRule>
  </conditionalFormatting>
  <conditionalFormatting sqref="BC215">
    <cfRule type="containsText" dxfId="144" priority="146" operator="containsText" text="RIESGO EXTREMO">
      <formula>NOT(ISERROR(SEARCH("RIESGO EXTREMO",BC215)))</formula>
    </cfRule>
    <cfRule type="containsText" dxfId="143" priority="147" operator="containsText" text="RIESGO ALTO">
      <formula>NOT(ISERROR(SEARCH("RIESGO ALTO",BC215)))</formula>
    </cfRule>
    <cfRule type="containsText" dxfId="142" priority="148" operator="containsText" text="RIESGO MODERADO">
      <formula>NOT(ISERROR(SEARCH("RIESGO MODERADO",BC215)))</formula>
    </cfRule>
    <cfRule type="containsText" dxfId="141" priority="149" operator="containsText" text="RIESGO BAJO">
      <formula>NOT(ISERROR(SEARCH("RIESGO BAJO",BC215)))</formula>
    </cfRule>
  </conditionalFormatting>
  <conditionalFormatting sqref="BC216">
    <cfRule type="containsText" dxfId="140" priority="142" operator="containsText" text="RIESGO EXTREMO">
      <formula>NOT(ISERROR(SEARCH("RIESGO EXTREMO",BC216)))</formula>
    </cfRule>
    <cfRule type="containsText" dxfId="139" priority="143" operator="containsText" text="RIESGO ALTO">
      <formula>NOT(ISERROR(SEARCH("RIESGO ALTO",BC216)))</formula>
    </cfRule>
    <cfRule type="containsText" dxfId="138" priority="144" operator="containsText" text="RIESGO MODERADO">
      <formula>NOT(ISERROR(SEARCH("RIESGO MODERADO",BC216)))</formula>
    </cfRule>
    <cfRule type="containsText" dxfId="137" priority="145" operator="containsText" text="RIESGO BAJO">
      <formula>NOT(ISERROR(SEARCH("RIESGO BAJO",BC216)))</formula>
    </cfRule>
  </conditionalFormatting>
  <conditionalFormatting sqref="BC217">
    <cfRule type="containsText" dxfId="136" priority="134" operator="containsText" text="RIESGO EXTREMO">
      <formula>NOT(ISERROR(SEARCH("RIESGO EXTREMO",BC217)))</formula>
    </cfRule>
    <cfRule type="containsText" dxfId="135" priority="135" operator="containsText" text="RIESGO ALTO">
      <formula>NOT(ISERROR(SEARCH("RIESGO ALTO",BC217)))</formula>
    </cfRule>
    <cfRule type="containsText" dxfId="134" priority="136" operator="containsText" text="RIESGO MODERADO">
      <formula>NOT(ISERROR(SEARCH("RIESGO MODERADO",BC217)))</formula>
    </cfRule>
    <cfRule type="containsText" dxfId="133" priority="137" operator="containsText" text="RIESGO BAJO">
      <formula>NOT(ISERROR(SEARCH("RIESGO BAJO",BC217)))</formula>
    </cfRule>
  </conditionalFormatting>
  <conditionalFormatting sqref="BC218">
    <cfRule type="containsText" dxfId="132" priority="130" operator="containsText" text="RIESGO EXTREMO">
      <formula>NOT(ISERROR(SEARCH("RIESGO EXTREMO",BC218)))</formula>
    </cfRule>
    <cfRule type="containsText" dxfId="131" priority="131" operator="containsText" text="RIESGO ALTO">
      <formula>NOT(ISERROR(SEARCH("RIESGO ALTO",BC218)))</formula>
    </cfRule>
    <cfRule type="containsText" dxfId="130" priority="132" operator="containsText" text="RIESGO MODERADO">
      <formula>NOT(ISERROR(SEARCH("RIESGO MODERADO",BC218)))</formula>
    </cfRule>
    <cfRule type="containsText" dxfId="129" priority="133" operator="containsText" text="RIESGO BAJO">
      <formula>NOT(ISERROR(SEARCH("RIESGO BAJO",BC218)))</formula>
    </cfRule>
  </conditionalFormatting>
  <conditionalFormatting sqref="BB217:BB218">
    <cfRule type="containsText" dxfId="128" priority="126" operator="containsText" text="RIESGO EXTREMO">
      <formula>NOT(ISERROR(SEARCH("RIESGO EXTREMO",BB217)))</formula>
    </cfRule>
    <cfRule type="containsText" dxfId="127" priority="127" operator="containsText" text="RIESGO ALTO">
      <formula>NOT(ISERROR(SEARCH("RIESGO ALTO",BB217)))</formula>
    </cfRule>
    <cfRule type="containsText" dxfId="126" priority="128" operator="containsText" text="RIESGO MODERADO">
      <formula>NOT(ISERROR(SEARCH("RIESGO MODERADO",BB217)))</formula>
    </cfRule>
    <cfRule type="containsText" dxfId="125" priority="129" operator="containsText" text="RIESGO BAJO">
      <formula>NOT(ISERROR(SEARCH("RIESGO BAJO",BB217)))</formula>
    </cfRule>
  </conditionalFormatting>
  <conditionalFormatting sqref="J219:J220">
    <cfRule type="expression" dxfId="124" priority="125">
      <formula>EXACT(F219,"Seguridad_de_la_informacion")</formula>
    </cfRule>
  </conditionalFormatting>
  <conditionalFormatting sqref="BK219:BK220">
    <cfRule type="containsText" dxfId="123" priority="121" operator="containsText" text="RIESGO EXTREMO">
      <formula>NOT(ISERROR(SEARCH("RIESGO EXTREMO",BK219)))</formula>
    </cfRule>
    <cfRule type="containsText" dxfId="122" priority="122" operator="containsText" text="RIESGO ALTO">
      <formula>NOT(ISERROR(SEARCH("RIESGO ALTO",BK219)))</formula>
    </cfRule>
    <cfRule type="containsText" dxfId="121" priority="123" operator="containsText" text="RIESGO MODERADO">
      <formula>NOT(ISERROR(SEARCH("RIESGO MODERADO",BK219)))</formula>
    </cfRule>
    <cfRule type="containsText" dxfId="120" priority="124" operator="containsText" text="RIESGO BAJO">
      <formula>NOT(ISERROR(SEARCH("RIESGO BAJO",BK219)))</formula>
    </cfRule>
  </conditionalFormatting>
  <conditionalFormatting sqref="Q219:Q220 BB219:BE220">
    <cfRule type="containsText" dxfId="119" priority="117" operator="containsText" text="RIESGO EXTREMO">
      <formula>NOT(ISERROR(SEARCH("RIESGO EXTREMO",Q219)))</formula>
    </cfRule>
    <cfRule type="containsText" dxfId="118" priority="118" operator="containsText" text="RIESGO ALTO">
      <formula>NOT(ISERROR(SEARCH("RIESGO ALTO",Q219)))</formula>
    </cfRule>
    <cfRule type="containsText" dxfId="117" priority="119" operator="containsText" text="RIESGO MODERADO">
      <formula>NOT(ISERROR(SEARCH("RIESGO MODERADO",Q219)))</formula>
    </cfRule>
    <cfRule type="containsText" dxfId="116" priority="120" operator="containsText" text="RIESGO BAJO">
      <formula>NOT(ISERROR(SEARCH("RIESGO BAJO",Q219)))</formula>
    </cfRule>
  </conditionalFormatting>
  <conditionalFormatting sqref="I219:I220">
    <cfRule type="expression" dxfId="115" priority="116">
      <formula>EXACT(F219,"Seguridad_de_la_informacion")</formula>
    </cfRule>
  </conditionalFormatting>
  <conditionalFormatting sqref="AZ219:BA219 AZ220">
    <cfRule type="containsText" dxfId="114" priority="112" operator="containsText" text="RIESGO EXTREMO">
      <formula>NOT(ISERROR(SEARCH("RIESGO EXTREMO",AZ219)))</formula>
    </cfRule>
    <cfRule type="containsText" dxfId="113" priority="113" operator="containsText" text="RIESGO ALTO">
      <formula>NOT(ISERROR(SEARCH("RIESGO ALTO",AZ219)))</formula>
    </cfRule>
    <cfRule type="containsText" dxfId="112" priority="114" operator="containsText" text="RIESGO MODERADO">
      <formula>NOT(ISERROR(SEARCH("RIESGO MODERADO",AZ219)))</formula>
    </cfRule>
    <cfRule type="containsText" dxfId="111" priority="115" operator="containsText" text="RIESGO BAJO">
      <formula>NOT(ISERROR(SEARCH("RIESGO BAJO",AZ219)))</formula>
    </cfRule>
  </conditionalFormatting>
  <conditionalFormatting sqref="BH219:BI220 BG219 BJ219">
    <cfRule type="containsText" dxfId="110" priority="108" operator="containsText" text="RIESGO EXTREMO">
      <formula>NOT(ISERROR(SEARCH("RIESGO EXTREMO",BG219)))</formula>
    </cfRule>
    <cfRule type="containsText" dxfId="109" priority="109" operator="containsText" text="RIESGO ALTO">
      <formula>NOT(ISERROR(SEARCH("RIESGO ALTO",BG219)))</formula>
    </cfRule>
    <cfRule type="containsText" dxfId="108" priority="110" operator="containsText" text="RIESGO MODERADO">
      <formula>NOT(ISERROR(SEARCH("RIESGO MODERADO",BG219)))</formula>
    </cfRule>
    <cfRule type="containsText" dxfId="107" priority="111" operator="containsText" text="RIESGO BAJO">
      <formula>NOT(ISERROR(SEARCH("RIESGO BAJO",BG219)))</formula>
    </cfRule>
  </conditionalFormatting>
  <conditionalFormatting sqref="BE225:BF225 Q225:Q226 BH225:BI225 BB225:BC226 BE226 BE228 BB228">
    <cfRule type="containsText" dxfId="106" priority="104" operator="containsText" text="RIESGO EXTREMO">
      <formula>NOT(ISERROR(SEARCH("RIESGO EXTREMO",Q225)))</formula>
    </cfRule>
    <cfRule type="containsText" dxfId="105" priority="105" operator="containsText" text="RIESGO ALTO">
      <formula>NOT(ISERROR(SEARCH("RIESGO ALTO",Q225)))</formula>
    </cfRule>
    <cfRule type="containsText" dxfId="104" priority="106" operator="containsText" text="RIESGO MODERADO">
      <formula>NOT(ISERROR(SEARCH("RIESGO MODERADO",Q225)))</formula>
    </cfRule>
    <cfRule type="containsText" dxfId="103" priority="107" operator="containsText" text="RIESGO BAJO">
      <formula>NOT(ISERROR(SEARCH("RIESGO BAJO",Q225)))</formula>
    </cfRule>
  </conditionalFormatting>
  <conditionalFormatting sqref="I225:I228">
    <cfRule type="expression" dxfId="102" priority="103">
      <formula>EXACT(F225,"Seguridad_de_la_informacion")</formula>
    </cfRule>
  </conditionalFormatting>
  <conditionalFormatting sqref="J233:J235 J225:J228">
    <cfRule type="expression" dxfId="101" priority="102">
      <formula>EXACT(F225,"Seguridad_de_la_informacion")</formula>
    </cfRule>
  </conditionalFormatting>
  <conditionalFormatting sqref="AZ225:BA225 AZ226">
    <cfRule type="containsText" dxfId="100" priority="98" operator="containsText" text="RIESGO EXTREMO">
      <formula>NOT(ISERROR(SEARCH("RIESGO EXTREMO",AZ225)))</formula>
    </cfRule>
    <cfRule type="containsText" dxfId="99" priority="99" operator="containsText" text="RIESGO ALTO">
      <formula>NOT(ISERROR(SEARCH("RIESGO ALTO",AZ225)))</formula>
    </cfRule>
    <cfRule type="containsText" dxfId="98" priority="100" operator="containsText" text="RIESGO MODERADO">
      <formula>NOT(ISERROR(SEARCH("RIESGO MODERADO",AZ225)))</formula>
    </cfRule>
    <cfRule type="containsText" dxfId="97" priority="101" operator="containsText" text="RIESGO BAJO">
      <formula>NOT(ISERROR(SEARCH("RIESGO BAJO",AZ225)))</formula>
    </cfRule>
  </conditionalFormatting>
  <conditionalFormatting sqref="BG225 BJ225">
    <cfRule type="containsText" dxfId="96" priority="94" operator="containsText" text="RIESGO EXTREMO">
      <formula>NOT(ISERROR(SEARCH("RIESGO EXTREMO",BG225)))</formula>
    </cfRule>
    <cfRule type="containsText" dxfId="95" priority="95" operator="containsText" text="RIESGO ALTO">
      <formula>NOT(ISERROR(SEARCH("RIESGO ALTO",BG225)))</formula>
    </cfRule>
    <cfRule type="containsText" dxfId="94" priority="96" operator="containsText" text="RIESGO MODERADO">
      <formula>NOT(ISERROR(SEARCH("RIESGO MODERADO",BG225)))</formula>
    </cfRule>
    <cfRule type="containsText" dxfId="93" priority="97" operator="containsText" text="RIESGO BAJO">
      <formula>NOT(ISERROR(SEARCH("RIESGO BAJO",BG225)))</formula>
    </cfRule>
  </conditionalFormatting>
  <conditionalFormatting sqref="BG221 BJ221">
    <cfRule type="containsText" dxfId="92" priority="68" operator="containsText" text="RIESGO EXTREMO">
      <formula>NOT(ISERROR(SEARCH("RIESGO EXTREMO",BG221)))</formula>
    </cfRule>
    <cfRule type="containsText" dxfId="91" priority="69" operator="containsText" text="RIESGO ALTO">
      <formula>NOT(ISERROR(SEARCH("RIESGO ALTO",BG221)))</formula>
    </cfRule>
    <cfRule type="containsText" dxfId="90" priority="70" operator="containsText" text="RIESGO MODERADO">
      <formula>NOT(ISERROR(SEARCH("RIESGO MODERADO",BG221)))</formula>
    </cfRule>
    <cfRule type="containsText" dxfId="89" priority="71" operator="containsText" text="RIESGO BAJO">
      <formula>NOT(ISERROR(SEARCH("RIESGO BAJO",BG221)))</formula>
    </cfRule>
  </conditionalFormatting>
  <conditionalFormatting sqref="Q227 BF227 BH227:BI227">
    <cfRule type="containsText" dxfId="88" priority="90" operator="containsText" text="RIESGO EXTREMO">
      <formula>NOT(ISERROR(SEARCH("RIESGO EXTREMO",Q227)))</formula>
    </cfRule>
    <cfRule type="containsText" dxfId="87" priority="91" operator="containsText" text="RIESGO ALTO">
      <formula>NOT(ISERROR(SEARCH("RIESGO ALTO",Q227)))</formula>
    </cfRule>
    <cfRule type="containsText" dxfId="86" priority="92" operator="containsText" text="RIESGO MODERADO">
      <formula>NOT(ISERROR(SEARCH("RIESGO MODERADO",Q227)))</formula>
    </cfRule>
    <cfRule type="containsText" dxfId="85" priority="93" operator="containsText" text="RIESGO BAJO">
      <formula>NOT(ISERROR(SEARCH("RIESGO BAJO",Q227)))</formula>
    </cfRule>
  </conditionalFormatting>
  <conditionalFormatting sqref="AZ227:BA227">
    <cfRule type="containsText" dxfId="84" priority="86" operator="containsText" text="RIESGO EXTREMO">
      <formula>NOT(ISERROR(SEARCH("RIESGO EXTREMO",AZ227)))</formula>
    </cfRule>
    <cfRule type="containsText" dxfId="83" priority="87" operator="containsText" text="RIESGO ALTO">
      <formula>NOT(ISERROR(SEARCH("RIESGO ALTO",AZ227)))</formula>
    </cfRule>
    <cfRule type="containsText" dxfId="82" priority="88" operator="containsText" text="RIESGO MODERADO">
      <formula>NOT(ISERROR(SEARCH("RIESGO MODERADO",AZ227)))</formula>
    </cfRule>
    <cfRule type="containsText" dxfId="81" priority="89" operator="containsText" text="RIESGO BAJO">
      <formula>NOT(ISERROR(SEARCH("RIESGO BAJO",AZ227)))</formula>
    </cfRule>
  </conditionalFormatting>
  <conditionalFormatting sqref="BG227 BJ227">
    <cfRule type="containsText" dxfId="80" priority="82" operator="containsText" text="RIESGO EXTREMO">
      <formula>NOT(ISERROR(SEARCH("RIESGO EXTREMO",BG227)))</formula>
    </cfRule>
    <cfRule type="containsText" dxfId="79" priority="83" operator="containsText" text="RIESGO ALTO">
      <formula>NOT(ISERROR(SEARCH("RIESGO ALTO",BG227)))</formula>
    </cfRule>
    <cfRule type="containsText" dxfId="78" priority="84" operator="containsText" text="RIESGO MODERADO">
      <formula>NOT(ISERROR(SEARCH("RIESGO MODERADO",BG227)))</formula>
    </cfRule>
    <cfRule type="containsText" dxfId="77" priority="85" operator="containsText" text="RIESGO BAJO">
      <formula>NOT(ISERROR(SEARCH("RIESGO BAJO",BG227)))</formula>
    </cfRule>
  </conditionalFormatting>
  <conditionalFormatting sqref="BE221:BF221 BE222:BE224 Q221:Q223 BC221:BD222 BH221:BI221 BB221:BB224">
    <cfRule type="containsText" dxfId="76" priority="78" operator="containsText" text="RIESGO EXTREMO">
      <formula>NOT(ISERROR(SEARCH("RIESGO EXTREMO",Q221)))</formula>
    </cfRule>
    <cfRule type="containsText" dxfId="75" priority="79" operator="containsText" text="RIESGO ALTO">
      <formula>NOT(ISERROR(SEARCH("RIESGO ALTO",Q221)))</formula>
    </cfRule>
    <cfRule type="containsText" dxfId="74" priority="80" operator="containsText" text="RIESGO MODERADO">
      <formula>NOT(ISERROR(SEARCH("RIESGO MODERADO",Q221)))</formula>
    </cfRule>
    <cfRule type="containsText" dxfId="73" priority="81" operator="containsText" text="RIESGO BAJO">
      <formula>NOT(ISERROR(SEARCH("RIESGO BAJO",Q221)))</formula>
    </cfRule>
  </conditionalFormatting>
  <conditionalFormatting sqref="I221:I222">
    <cfRule type="expression" dxfId="72" priority="77">
      <formula>EXACT(F221,"Seguridad_de_la_informacion")</formula>
    </cfRule>
  </conditionalFormatting>
  <conditionalFormatting sqref="J221:J224">
    <cfRule type="expression" dxfId="71" priority="76">
      <formula>EXACT(F221,"Seguridad_de_la_informacion")</formula>
    </cfRule>
  </conditionalFormatting>
  <conditionalFormatting sqref="AZ221:BA221 AZ222:AZ223">
    <cfRule type="containsText" dxfId="70" priority="72" operator="containsText" text="RIESGO EXTREMO">
      <formula>NOT(ISERROR(SEARCH("RIESGO EXTREMO",AZ221)))</formula>
    </cfRule>
    <cfRule type="containsText" dxfId="69" priority="73" operator="containsText" text="RIESGO ALTO">
      <formula>NOT(ISERROR(SEARCH("RIESGO ALTO",AZ221)))</formula>
    </cfRule>
    <cfRule type="containsText" dxfId="68" priority="74" operator="containsText" text="RIESGO MODERADO">
      <formula>NOT(ISERROR(SEARCH("RIESGO MODERADO",AZ221)))</formula>
    </cfRule>
    <cfRule type="containsText" dxfId="67" priority="75" operator="containsText" text="RIESGO BAJO">
      <formula>NOT(ISERROR(SEARCH("RIESGO BAJO",AZ221)))</formula>
    </cfRule>
  </conditionalFormatting>
  <conditionalFormatting sqref="BF229 Q229:Q231 BB230:BE230 BB232 BE232">
    <cfRule type="containsText" dxfId="66" priority="64" operator="containsText" text="RIESGO EXTREMO">
      <formula>NOT(ISERROR(SEARCH("RIESGO EXTREMO",Q229)))</formula>
    </cfRule>
    <cfRule type="containsText" dxfId="65" priority="65" operator="containsText" text="RIESGO ALTO">
      <formula>NOT(ISERROR(SEARCH("RIESGO ALTO",Q229)))</formula>
    </cfRule>
    <cfRule type="containsText" dxfId="64" priority="66" operator="containsText" text="RIESGO MODERADO">
      <formula>NOT(ISERROR(SEARCH("RIESGO MODERADO",Q229)))</formula>
    </cfRule>
    <cfRule type="containsText" dxfId="63" priority="67" operator="containsText" text="RIESGO BAJO">
      <formula>NOT(ISERROR(SEARCH("RIESGO BAJO",Q229)))</formula>
    </cfRule>
  </conditionalFormatting>
  <conditionalFormatting sqref="I229:I230">
    <cfRule type="expression" dxfId="62" priority="63">
      <formula>EXACT(F229,"Seguridad_de_la_informacion")</formula>
    </cfRule>
  </conditionalFormatting>
  <conditionalFormatting sqref="J229:J232">
    <cfRule type="expression" dxfId="61" priority="62">
      <formula>EXACT(F229,"Seguridad_de_la_informacion")</formula>
    </cfRule>
  </conditionalFormatting>
  <conditionalFormatting sqref="AZ229:BA229 AZ230:AZ231">
    <cfRule type="containsText" dxfId="60" priority="58" operator="containsText" text="RIESGO EXTREMO">
      <formula>NOT(ISERROR(SEARCH("RIESGO EXTREMO",AZ229)))</formula>
    </cfRule>
    <cfRule type="containsText" dxfId="59" priority="59" operator="containsText" text="RIESGO ALTO">
      <formula>NOT(ISERROR(SEARCH("RIESGO ALTO",AZ229)))</formula>
    </cfRule>
    <cfRule type="containsText" dxfId="58" priority="60" operator="containsText" text="RIESGO MODERADO">
      <formula>NOT(ISERROR(SEARCH("RIESGO MODERADO",AZ229)))</formula>
    </cfRule>
    <cfRule type="containsText" dxfId="57" priority="61" operator="containsText" text="RIESGO BAJO">
      <formula>NOT(ISERROR(SEARCH("RIESGO BAJO",AZ229)))</formula>
    </cfRule>
  </conditionalFormatting>
  <conditionalFormatting sqref="BF233 BE235 Q233:Q235 BB235">
    <cfRule type="containsText" dxfId="56" priority="54" operator="containsText" text="RIESGO EXTREMO">
      <formula>NOT(ISERROR(SEARCH("RIESGO EXTREMO",Q233)))</formula>
    </cfRule>
    <cfRule type="containsText" dxfId="55" priority="55" operator="containsText" text="RIESGO ALTO">
      <formula>NOT(ISERROR(SEARCH("RIESGO ALTO",Q233)))</formula>
    </cfRule>
    <cfRule type="containsText" dxfId="54" priority="56" operator="containsText" text="RIESGO MODERADO">
      <formula>NOT(ISERROR(SEARCH("RIESGO MODERADO",Q233)))</formula>
    </cfRule>
    <cfRule type="containsText" dxfId="53" priority="57" operator="containsText" text="RIESGO BAJO">
      <formula>NOT(ISERROR(SEARCH("RIESGO BAJO",Q233)))</formula>
    </cfRule>
  </conditionalFormatting>
  <conditionalFormatting sqref="I233:I234">
    <cfRule type="expression" dxfId="52" priority="53">
      <formula>EXACT(F233,"Seguridad_de_la_informacion")</formula>
    </cfRule>
  </conditionalFormatting>
  <conditionalFormatting sqref="AZ233:BA233 AZ234:AZ235">
    <cfRule type="containsText" dxfId="51" priority="49" operator="containsText" text="RIESGO EXTREMO">
      <formula>NOT(ISERROR(SEARCH("RIESGO EXTREMO",AZ233)))</formula>
    </cfRule>
    <cfRule type="containsText" dxfId="50" priority="50" operator="containsText" text="RIESGO ALTO">
      <formula>NOT(ISERROR(SEARCH("RIESGO ALTO",AZ233)))</formula>
    </cfRule>
    <cfRule type="containsText" dxfId="49" priority="51" operator="containsText" text="RIESGO MODERADO">
      <formula>NOT(ISERROR(SEARCH("RIESGO MODERADO",AZ233)))</formula>
    </cfRule>
    <cfRule type="containsText" dxfId="48" priority="52" operator="containsText" text="RIESGO BAJO">
      <formula>NOT(ISERROR(SEARCH("RIESGO BAJO",AZ233)))</formula>
    </cfRule>
  </conditionalFormatting>
  <conditionalFormatting sqref="BG229">
    <cfRule type="containsText" dxfId="47" priority="45" operator="containsText" text="RIESGO EXTREMO">
      <formula>NOT(ISERROR(SEARCH("RIESGO EXTREMO",BG229)))</formula>
    </cfRule>
    <cfRule type="containsText" dxfId="46" priority="46" operator="containsText" text="RIESGO ALTO">
      <formula>NOT(ISERROR(SEARCH("RIESGO ALTO",BG229)))</formula>
    </cfRule>
    <cfRule type="containsText" dxfId="45" priority="47" operator="containsText" text="RIESGO MODERADO">
      <formula>NOT(ISERROR(SEARCH("RIESGO MODERADO",BG229)))</formula>
    </cfRule>
    <cfRule type="containsText" dxfId="44" priority="48" operator="containsText" text="RIESGO BAJO">
      <formula>NOT(ISERROR(SEARCH("RIESGO BAJO",BG229)))</formula>
    </cfRule>
  </conditionalFormatting>
  <conditionalFormatting sqref="BG233">
    <cfRule type="containsText" dxfId="43" priority="41" operator="containsText" text="RIESGO EXTREMO">
      <formula>NOT(ISERROR(SEARCH("RIESGO EXTREMO",BG233)))</formula>
    </cfRule>
    <cfRule type="containsText" dxfId="42" priority="42" operator="containsText" text="RIESGO ALTO">
      <formula>NOT(ISERROR(SEARCH("RIESGO ALTO",BG233)))</formula>
    </cfRule>
    <cfRule type="containsText" dxfId="41" priority="43" operator="containsText" text="RIESGO MODERADO">
      <formula>NOT(ISERROR(SEARCH("RIESGO MODERADO",BG233)))</formula>
    </cfRule>
    <cfRule type="containsText" dxfId="40" priority="44" operator="containsText" text="RIESGO BAJO">
      <formula>NOT(ISERROR(SEARCH("RIESGO BAJO",BG233)))</formula>
    </cfRule>
  </conditionalFormatting>
  <conditionalFormatting sqref="BH229">
    <cfRule type="containsText" dxfId="39" priority="37" operator="containsText" text="RIESGO EXTREMO">
      <formula>NOT(ISERROR(SEARCH("RIESGO EXTREMO",BH229)))</formula>
    </cfRule>
    <cfRule type="containsText" dxfId="38" priority="38" operator="containsText" text="RIESGO ALTO">
      <formula>NOT(ISERROR(SEARCH("RIESGO ALTO",BH229)))</formula>
    </cfRule>
    <cfRule type="containsText" dxfId="37" priority="39" operator="containsText" text="RIESGO MODERADO">
      <formula>NOT(ISERROR(SEARCH("RIESGO MODERADO",BH229)))</formula>
    </cfRule>
    <cfRule type="containsText" dxfId="36" priority="40" operator="containsText" text="RIESGO BAJO">
      <formula>NOT(ISERROR(SEARCH("RIESGO BAJO",BH229)))</formula>
    </cfRule>
  </conditionalFormatting>
  <conditionalFormatting sqref="BH233">
    <cfRule type="containsText" dxfId="35" priority="33" operator="containsText" text="RIESGO EXTREMO">
      <formula>NOT(ISERROR(SEARCH("RIESGO EXTREMO",BH233)))</formula>
    </cfRule>
    <cfRule type="containsText" dxfId="34" priority="34" operator="containsText" text="RIESGO ALTO">
      <formula>NOT(ISERROR(SEARCH("RIESGO ALTO",BH233)))</formula>
    </cfRule>
    <cfRule type="containsText" dxfId="33" priority="35" operator="containsText" text="RIESGO MODERADO">
      <formula>NOT(ISERROR(SEARCH("RIESGO MODERADO",BH233)))</formula>
    </cfRule>
    <cfRule type="containsText" dxfId="32" priority="36" operator="containsText" text="RIESGO BAJO">
      <formula>NOT(ISERROR(SEARCH("RIESGO BAJO",BH233)))</formula>
    </cfRule>
  </conditionalFormatting>
  <conditionalFormatting sqref="BI229">
    <cfRule type="containsText" dxfId="31" priority="29" operator="containsText" text="RIESGO EXTREMO">
      <formula>NOT(ISERROR(SEARCH("RIESGO EXTREMO",BI229)))</formula>
    </cfRule>
    <cfRule type="containsText" dxfId="30" priority="30" operator="containsText" text="RIESGO ALTO">
      <formula>NOT(ISERROR(SEARCH("RIESGO ALTO",BI229)))</formula>
    </cfRule>
    <cfRule type="containsText" dxfId="29" priority="31" operator="containsText" text="RIESGO MODERADO">
      <formula>NOT(ISERROR(SEARCH("RIESGO MODERADO",BI229)))</formula>
    </cfRule>
    <cfRule type="containsText" dxfId="28" priority="32" operator="containsText" text="RIESGO BAJO">
      <formula>NOT(ISERROR(SEARCH("RIESGO BAJO",BI229)))</formula>
    </cfRule>
  </conditionalFormatting>
  <conditionalFormatting sqref="BI233">
    <cfRule type="containsText" dxfId="27" priority="25" operator="containsText" text="RIESGO EXTREMO">
      <formula>NOT(ISERROR(SEARCH("RIESGO EXTREMO",BI233)))</formula>
    </cfRule>
    <cfRule type="containsText" dxfId="26" priority="26" operator="containsText" text="RIESGO ALTO">
      <formula>NOT(ISERROR(SEARCH("RIESGO ALTO",BI233)))</formula>
    </cfRule>
    <cfRule type="containsText" dxfId="25" priority="27" operator="containsText" text="RIESGO MODERADO">
      <formula>NOT(ISERROR(SEARCH("RIESGO MODERADO",BI233)))</formula>
    </cfRule>
    <cfRule type="containsText" dxfId="24" priority="28" operator="containsText" text="RIESGO BAJO">
      <formula>NOT(ISERROR(SEARCH("RIESGO BAJO",BI233)))</formula>
    </cfRule>
  </conditionalFormatting>
  <conditionalFormatting sqref="BJ229">
    <cfRule type="containsText" dxfId="23" priority="21" operator="containsText" text="RIESGO EXTREMO">
      <formula>NOT(ISERROR(SEARCH("RIESGO EXTREMO",BJ229)))</formula>
    </cfRule>
    <cfRule type="containsText" dxfId="22" priority="22" operator="containsText" text="RIESGO ALTO">
      <formula>NOT(ISERROR(SEARCH("RIESGO ALTO",BJ229)))</formula>
    </cfRule>
    <cfRule type="containsText" dxfId="21" priority="23" operator="containsText" text="RIESGO MODERADO">
      <formula>NOT(ISERROR(SEARCH("RIESGO MODERADO",BJ229)))</formula>
    </cfRule>
    <cfRule type="containsText" dxfId="20" priority="24" operator="containsText" text="RIESGO BAJO">
      <formula>NOT(ISERROR(SEARCH("RIESGO BAJO",BJ229)))</formula>
    </cfRule>
  </conditionalFormatting>
  <conditionalFormatting sqref="BJ233">
    <cfRule type="containsText" dxfId="19" priority="17" operator="containsText" text="RIESGO EXTREMO">
      <formula>NOT(ISERROR(SEARCH("RIESGO EXTREMO",BJ233)))</formula>
    </cfRule>
    <cfRule type="containsText" dxfId="18" priority="18" operator="containsText" text="RIESGO ALTO">
      <formula>NOT(ISERROR(SEARCH("RIESGO ALTO",BJ233)))</formula>
    </cfRule>
    <cfRule type="containsText" dxfId="17" priority="19" operator="containsText" text="RIESGO MODERADO">
      <formula>NOT(ISERROR(SEARCH("RIESGO MODERADO",BJ233)))</formula>
    </cfRule>
    <cfRule type="containsText" dxfId="16" priority="20" operator="containsText" text="RIESGO BAJO">
      <formula>NOT(ISERROR(SEARCH("RIESGO BAJO",BJ233)))</formula>
    </cfRule>
  </conditionalFormatting>
  <conditionalFormatting sqref="BE227 BB227">
    <cfRule type="containsText" dxfId="15" priority="13" operator="containsText" text="RIESGO EXTREMO">
      <formula>NOT(ISERROR(SEARCH("RIESGO EXTREMO",BB227)))</formula>
    </cfRule>
    <cfRule type="containsText" dxfId="14" priority="14" operator="containsText" text="RIESGO ALTO">
      <formula>NOT(ISERROR(SEARCH("RIESGO ALTO",BB227)))</formula>
    </cfRule>
    <cfRule type="containsText" dxfId="13" priority="15" operator="containsText" text="RIESGO MODERADO">
      <formula>NOT(ISERROR(SEARCH("RIESGO MODERADO",BB227)))</formula>
    </cfRule>
    <cfRule type="containsText" dxfId="12" priority="16" operator="containsText" text="RIESGO BAJO">
      <formula>NOT(ISERROR(SEARCH("RIESGO BAJO",BB227)))</formula>
    </cfRule>
  </conditionalFormatting>
  <conditionalFormatting sqref="BE229 BB229:BC229">
    <cfRule type="containsText" dxfId="11" priority="9" operator="containsText" text="RIESGO EXTREMO">
      <formula>NOT(ISERROR(SEARCH("RIESGO EXTREMO",BB229)))</formula>
    </cfRule>
    <cfRule type="containsText" dxfId="10" priority="10" operator="containsText" text="RIESGO ALTO">
      <formula>NOT(ISERROR(SEARCH("RIESGO ALTO",BB229)))</formula>
    </cfRule>
    <cfRule type="containsText" dxfId="9" priority="11" operator="containsText" text="RIESGO MODERADO">
      <formula>NOT(ISERROR(SEARCH("RIESGO MODERADO",BB229)))</formula>
    </cfRule>
    <cfRule type="containsText" dxfId="8" priority="12" operator="containsText" text="RIESGO BAJO">
      <formula>NOT(ISERROR(SEARCH("RIESGO BAJO",BB229)))</formula>
    </cfRule>
  </conditionalFormatting>
  <conditionalFormatting sqref="BB233:BE233">
    <cfRule type="containsText" dxfId="7" priority="5" operator="containsText" text="RIESGO EXTREMO">
      <formula>NOT(ISERROR(SEARCH("RIESGO EXTREMO",BB233)))</formula>
    </cfRule>
    <cfRule type="containsText" dxfId="6" priority="6" operator="containsText" text="RIESGO ALTO">
      <formula>NOT(ISERROR(SEARCH("RIESGO ALTO",BB233)))</formula>
    </cfRule>
    <cfRule type="containsText" dxfId="5" priority="7" operator="containsText" text="RIESGO MODERADO">
      <formula>NOT(ISERROR(SEARCH("RIESGO MODERADO",BB233)))</formula>
    </cfRule>
    <cfRule type="containsText" dxfId="4" priority="8" operator="containsText" text="RIESGO BAJO">
      <formula>NOT(ISERROR(SEARCH("RIESGO BAJO",BB233)))</formula>
    </cfRule>
  </conditionalFormatting>
  <conditionalFormatting sqref="BB234 BE234">
    <cfRule type="containsText" dxfId="3" priority="1" operator="containsText" text="RIESGO EXTREMO">
      <formula>NOT(ISERROR(SEARCH("RIESGO EXTREMO",BB234)))</formula>
    </cfRule>
    <cfRule type="containsText" dxfId="2" priority="2" operator="containsText" text="RIESGO ALTO">
      <formula>NOT(ISERROR(SEARCH("RIESGO ALTO",BB234)))</formula>
    </cfRule>
    <cfRule type="containsText" dxfId="1" priority="3" operator="containsText" text="RIESGO MODERADO">
      <formula>NOT(ISERROR(SEARCH("RIESGO MODERADO",BB234)))</formula>
    </cfRule>
    <cfRule type="containsText" dxfId="0" priority="4" operator="containsText" text="RIESGO BAJO">
      <formula>NOT(ISERROR(SEARCH("RIESGO BAJO",BB234)))</formula>
    </cfRule>
  </conditionalFormatting>
  <dataValidations xWindow="805" yWindow="482" count="44">
    <dataValidation type="list" allowBlank="1" showInputMessage="1" showErrorMessage="1" sqref="O11:O14 AX11:AX14 O31:O42 AX31:AX42 O51:O52 AX51:AX52 O61:O68 AX61:AX68 O77:O91 AX77:AX103 AX108:AX127 O108:O127 AX140:AX143 O148:O149 AX148:AX149 O156:O178 AX156:AX178 AX236:AX239 O187:O215 AX187:AX215 AX219:AX220 O219:O220 O236:O239" xr:uid="{00000000-0002-0000-0000-000007000000}">
      <formula1>INDIRECT($M$11)</formula1>
    </dataValidation>
    <dataValidation type="list" allowBlank="1" showInputMessage="1" showErrorMessage="1" sqref="B11:B51 B53:B215 B219:B227 B229:B239" xr:uid="{605F6735-0F37-410D-A512-8BBF24DD7275}">
      <formula1>procesos</formula1>
    </dataValidation>
    <dataValidation type="list" allowBlank="1" showInputMessage="1" showErrorMessage="1" prompt="Seleccione la amenaza de acuerdo con el tipo seleccionado" sqref="J11:J14 J23:J34 J43:J46 J51:J56 J61:J68 J77:J84 J92:J103 J108:J111 J128:J131 J136:J149 J156:J174 J179:J182 J187:J224 J236:J239" xr:uid="{A355F4D4-CCB1-4D15-8D9D-AF9819CEB1A9}">
      <formula1>INDIRECT($I$11)</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38 L39 K40:K50 BC62 K61:K62 K64:K162 K164:K170 K173:K192 K194:K195 K199:K211 K215:K227 K236:K239 K229 K231 K233" xr:uid="{28CEEEB6-8035-4400-96B0-D064DD84625C}"/>
    <dataValidation allowBlank="1" showInputMessage="1" showErrorMessage="1" prompt="Para cada causa debe existir un control" sqref="S46:S47 S14:S15 S11 S18:S19 S22:S23 S26:S27 S30 S34:S35 S38 S42:S43 BB47:BB48 S60:S61 S56:S57 S64:S65 S72:S73 S76:S77 S80:S81 S91:S92 R11:R49 BC47 R51:S52 S53 BC81 S68:S69 BB77:BB79 BC77:BC78 BB81:BB83 S84:S85 BB85:BB89 BC85 BC87 S87 S95:S96 S99:S101 S103:S104 S107:S108 S111:S112 S115:S117 S119:S120 S123:S124 S143:S144 R136:S139 S147:S150 R140:R152 S159 S127:S128 S131:S132 S135 R53:R135 S140 S155:S156 R154:R160 S162 S202:S203 S174:S175 S170:S171 S178:S179 S190:S191 S206:S207 S164 S166:S167 S182:S183 R199:R211 S186:S187 S194 S199 S210 R162:R195 S239 S215 S236 S218:S219 R215:R227 R236:R239 S221:S222 S224:S227 R233:R234 R229:R230" xr:uid="{47695386-AF8E-4318-BA99-67D985DE02A6}"/>
    <dataValidation type="list" allowBlank="1" showInputMessage="1" showErrorMessage="1" prompt="Seleccione la amenaza de acuerdo con el tipo seleccionado" sqref="J15:J18 J35:J38 J112:J115 J132:J135 J183:J186 J225:J226" xr:uid="{C0B062CC-274A-494E-BB7C-ED1A44BC1F60}">
      <formula1>INDIRECT($I$15)</formula1>
    </dataValidation>
    <dataValidation type="list" allowBlank="1" showInputMessage="1" showErrorMessage="1" sqref="O15:O18 AX15:AX18 O221:O227 O229:O235 AX221:AX227" xr:uid="{4B834944-F85E-4764-9E13-4D86010C4114}">
      <formula1>INDIRECT($M$15)</formula1>
    </dataValidation>
    <dataValidation type="list" allowBlank="1" showInputMessage="1" showErrorMessage="1" sqref="O19:O22 AX19:AX22" xr:uid="{DAE23F7D-17EA-4F17-A6D6-08AA5373C8AA}">
      <formula1>INDIRECT($M$19)</formula1>
    </dataValidation>
    <dataValidation type="list" allowBlank="1" showInputMessage="1" showErrorMessage="1" prompt="Seleccione la amenaza de acuerdo con el tipo seleccionado" sqref="J19:J22 J39:J42 J116:J119 J229:J232" xr:uid="{106C91AC-F32A-451B-84C2-8B357D9FF477}">
      <formula1>INDIRECT($I$19)</formula1>
    </dataValidation>
    <dataValidation type="list" allowBlank="1" showInputMessage="1" showErrorMessage="1" sqref="O23:O26 AX23:AX26 AX104:AX107 AX152:AX155" xr:uid="{1519A7B7-4CBC-4FB3-A848-C5BD5B8DB6DB}">
      <formula1>INDIRECT($M$23)</formula1>
    </dataValidation>
    <dataValidation type="list" allowBlank="1" showInputMessage="1" showErrorMessage="1" sqref="O27:O30 AX27:AX30" xr:uid="{0F5EC690-57C4-4DBB-B4E0-454F46C4F874}">
      <formula1>INDIRECT($M$27)</formula1>
    </dataValidation>
    <dataValidation type="list" allowBlank="1" showInputMessage="1" showErrorMessage="1" sqref="AX43:AX50 O43:O50 AX128:AX139 O128:O147 AX144:AX147 O152:O155 O179:O186 AX179:AX186" xr:uid="{E73468D4-5AE4-44E1-B32E-FFFBF62E1A6E}">
      <formula1>INDIRECT(#REF!)</formula1>
    </dataValidation>
    <dataValidation type="list" allowBlank="1" showInputMessage="1" showErrorMessage="1" prompt="Seleccione la amenaza de acuerdo con el tipo seleccionado" sqref="J47:J50" xr:uid="{2D5934F0-DC02-4B80-AAA3-49D66D02E68B}">
      <formula1>INDIRECT(#REF!)</formula1>
    </dataValidation>
    <dataValidation allowBlank="1" showInputMessage="1" showErrorMessage="1" prompt="Causa: todos aquellos factores internos y externos que solos o en combinación de otros, pueden producir la materialización del riesgo._x000a_Vulnerabilidad: representa la debilidad de un activo o un control que puede ser explotada por una o mas amenazas." sqref="K51:K60" xr:uid="{9BDC8AA0-D49E-4A81-8210-47A80EF65EA5}"/>
    <dataValidation type="list" allowBlank="1" showInputMessage="1" showErrorMessage="1" sqref="O53:O56 AX53:AX56 O150:O151 AX150:AX151" xr:uid="{268E403F-0DBC-432A-BD8E-20786D538FCE}">
      <formula1>INDIRECT($M$13)</formula1>
    </dataValidation>
    <dataValidation type="list" allowBlank="1" showInputMessage="1" showErrorMessage="1" prompt="Seleccione la amenaza de acuerdo con el tipo seleccionado" sqref="J57:J60 J227:J228" xr:uid="{CFDB1001-1767-445A-9A48-B1A12A425DD4}">
      <formula1>INDIRECT($I$17)</formula1>
    </dataValidation>
    <dataValidation type="list" allowBlank="1" showInputMessage="1" showErrorMessage="1" sqref="O57:O60 AX57:AX60" xr:uid="{6125772D-D9AB-40CF-9F68-97676530575A}">
      <formula1>INDIRECT($M$17)</formula1>
    </dataValidation>
    <dataValidation type="list" allowBlank="1" showInputMessage="1" showErrorMessage="1" prompt="Seleccione la amenaza de acuerdo con el tipo seleccionado" sqref="J69:J76" xr:uid="{AEB7FC81-3C81-40F4-8AA3-DABEA2C57EC5}">
      <formula1>INDIRECT($I$20)</formula1>
    </dataValidation>
    <dataValidation type="list" allowBlank="1" showInputMessage="1" showErrorMessage="1" sqref="O69:O76 AX69:AX76" xr:uid="{EFB3FB7B-1802-4094-B557-B6C7EFA33CC9}">
      <formula1>INDIRECT($M$16)</formula1>
    </dataValidation>
    <dataValidation type="list" allowBlank="1" showInputMessage="1" showErrorMessage="1" prompt="Seleccione la amenaza de acuerdo con el tipo seleccionado" sqref="J85:J91" xr:uid="{FDA00DDF-6147-432E-B6CD-BBEB4797358D}">
      <formula1>INDIRECT($I$51)</formula1>
    </dataValidation>
    <dataValidation type="list" allowBlank="1" showInputMessage="1" showErrorMessage="1" sqref="O92:O107" xr:uid="{706FD4F3-D3E4-4F7E-816A-08C1A8B52D5F}">
      <formula1>impacto</formula1>
    </dataValidation>
    <dataValidation type="list" allowBlank="1" showInputMessage="1" showErrorMessage="1" prompt="Seleccione la amenaza de acuerdo con el tipo seleccionado" sqref="J104:J107 J120:J123 J152:J155 J233:J235" xr:uid="{9985F9F1-BBCA-4CEC-96DC-823B9B32F57D}">
      <formula1>INDIRECT($I$23)</formula1>
    </dataValidation>
    <dataValidation type="list" allowBlank="1" showInputMessage="1" showErrorMessage="1" prompt="Seleccione la amenaza de acuerdo con el tipo seleccionado" sqref="J124:J127" xr:uid="{38E4BC07-B9C9-4368-ADDC-F965371CE99C}">
      <formula1>INDIRECT($I$27)</formula1>
    </dataValidation>
    <dataValidation type="list" allowBlank="1" showInputMessage="1" showErrorMessage="1" prompt="Seleccione la amenaza de acuerdo con el tipo seleccionado" sqref="J150:J151" xr:uid="{69F38956-639A-4E4F-B382-2A9C9B1167C3}">
      <formula1>INDIRECT($I$13)</formula1>
    </dataValidation>
    <dataValidation allowBlank="1" showInputMessage="1" showErrorMessage="1" prompt="Relacione el activo de información donde el nivel de criticidad corresponde a &quot;Crítico&quot;" sqref="H11:H152 H156:H215 H219:H227 H233:H239 H229 H231" xr:uid="{DBB02765-1E5B-4624-96C0-6812037F5152}"/>
    <dataValidation type="list" allowBlank="1" showInputMessage="1" showErrorMessage="1" sqref="T11:T152 T154:T160 T162:T195 T199:T227 T232:T239 T229:T230" xr:uid="{E78C5AFC-89E7-4232-867C-7DF5F236269B}">
      <formula1>"Asignado,No asignado"</formula1>
    </dataValidation>
    <dataValidation type="list" allowBlank="1" showInputMessage="1" showErrorMessage="1" sqref="V11:V152 V154:V160 V162:V195 V199:V227 V232:V239 V229:V230" xr:uid="{99F51235-F485-4774-9FBC-1D3CC457B1F7}">
      <formula1>"Adecuado,Inadecuado"</formula1>
    </dataValidation>
    <dataValidation type="list" allowBlank="1" showInputMessage="1" showErrorMessage="1" sqref="X11:X152 X154:X160 X162:X195 X199:X227 X232:X239 X229:X230" xr:uid="{3FC3B70A-EDE5-4CB1-88E9-73759AF98174}">
      <formula1>"Oportuna,Inoportuna"</formula1>
    </dataValidation>
    <dataValidation type="list" allowBlank="1" showInputMessage="1" showErrorMessage="1" sqref="Z11:Z152 Z154:Z160 Z162:Z195 Z199:Z227 Z232:Z239 Z229:Z230" xr:uid="{79B9BECB-D236-4233-8E7E-2F46CFCE7F67}">
      <formula1>"Prevenir,Detectar,No es un control"</formula1>
    </dataValidation>
    <dataValidation type="list" allowBlank="1" showInputMessage="1" showErrorMessage="1" sqref="AB11:AB152 AB154:AB160 AB162:AB195 AB199:AB227 AB232:AB239 AB229:AB230" xr:uid="{8D499C5F-F7E4-453F-B1D7-9190054807E5}">
      <formula1>"Confiable,No confiable"</formula1>
    </dataValidation>
    <dataValidation type="list" allowBlank="1" showInputMessage="1" showErrorMessage="1" sqref="AD11:AD152 AD154:AD160 AD162:AD195 AD199:AD227 AD232:AD239 AD229:AD230" xr:uid="{426773D7-6535-46B1-BB69-069237A6A4E6}">
      <formula1>"Se investigan y resuelven oportunamente,No se investigan y no se resuelven oportunamente"</formula1>
    </dataValidation>
    <dataValidation type="list" allowBlank="1" showInputMessage="1" showErrorMessage="1" sqref="AF11:AF152 AF154:AF160 AF162:AF195 AF199:AF227 AF232:AF239 AF229:AF230" xr:uid="{7DE7A25C-1BF6-4F6B-892B-B56D512889DA}">
      <formula1>"Completa,Incompleta,No existe"</formula1>
    </dataValidation>
    <dataValidation type="list" allowBlank="1" showInputMessage="1" showErrorMessage="1" sqref="AJ11:AJ152 AJ154:AJ160 AJ162:AJ195 AJ199:AJ227 AJ232:AJ239 AJ229:AJ230" xr:uid="{4245D142-FFD9-4CC8-B888-223B2FDA1695}">
      <formula1>"Siempre se ejecuta,Algunas veces,No se ejecuta"</formula1>
    </dataValidation>
    <dataValidation type="list" allowBlank="1" showInputMessage="1" showErrorMessage="1" sqref="AW229:AW239 N11:N215 AW11:AW215 AW219:AW227 N219:N227 N229:N239" xr:uid="{00000000-0002-0000-0000-000000000000}">
      <formula1>probabilidad</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98 D203:D215 D219:D227 D236:D239 D229 D233" xr:uid="{4D94B5A4-D503-4F2E-B6CD-C460578B51A7}"/>
    <dataValidation allowBlank="1" showInputMessage="1" showErrorMessage="1" prompt="La descripción del riesgo se puede realizar a través de estas preguntas:_x000a_¿Qué puede suceder?_x000a_¿Cómo puede suceder?_x000a_¿Qué consecuencias tendría su materialización?" sqref="E11:E215 E219:E227 E236:E239 E229:E233" xr:uid="{32F53856-DBFB-4160-B14B-ABFF9F739A14}"/>
    <dataValidation type="list" allowBlank="1" showInputMessage="1" showErrorMessage="1" prompt="Seleccione el tipo de riesgo conforme a las categorias." sqref="F11:F215 F219:F227 F229:F239" xr:uid="{A72641B6-180C-44E7-85A1-F12A049C6126}">
      <formula1>tipo_de_riesgos</formula1>
    </dataValidation>
    <dataValidation type="list" allowBlank="1" showInputMessage="1" showErrorMessage="1" prompt="Seleccione la tipología conforme al tipo de riesgo." sqref="G11:G215 G219:G226 G229:G239" xr:uid="{FD26F80E-C218-49BA-8A6C-6C60071C1E73}">
      <formula1>INDIRECT(F11)</formula1>
    </dataValidation>
    <dataValidation type="list" allowBlank="1" showInputMessage="1" showErrorMessage="1" sqref="AS11:AS215 AS219:AS227 AS229:AS239" xr:uid="{EA5B110C-2D97-427C-8665-AC8CB4203683}">
      <formula1>"Directamente,Indirectamente,No disminuye"</formula1>
    </dataValidation>
    <dataValidation type="list" allowBlank="1" showInputMessage="1" showErrorMessage="1" sqref="AR11:AR215 AR219:AR227 AR229:AR239" xr:uid="{F4DD8EAF-BC66-4CF7-9051-736EB5AE0742}">
      <formula1>"Directamente,No disminuye"</formula1>
    </dataValidation>
    <dataValidation type="list" allowBlank="1" showInputMessage="1" showErrorMessage="1" sqref="BA11:BA215 BA219:BA227 BA229:BA239" xr:uid="{8A8E698A-6D90-4305-BBD0-4FB0114F4CEB}">
      <formula1>opciondelriesgo</formula1>
    </dataValidation>
    <dataValidation type="list" allowBlank="1" showInputMessage="1" showErrorMessage="1" prompt="Seleccione la amenaza de acuerdo con el tipo seleccionado" sqref="J175:J178" xr:uid="{1B2579BE-4842-4919-B909-A6A017FE89A3}">
      <formula1>INDIRECT($I$175)</formula1>
    </dataValidation>
    <dataValidation type="list" allowBlank="1" showInputMessage="1" showErrorMessage="1" prompt="Solo aplica para los riesgos tipificados como seguridad de la información" sqref="I11:I239" xr:uid="{E60B3BCA-46AF-4824-AECD-021AF4423728}">
      <formula1>tipo_de_amenaza</formula1>
    </dataValidation>
    <dataValidation type="list" allowBlank="1" showInputMessage="1" showErrorMessage="1" prompt="Seleccione la tipología conforme al tipo de riesgo." sqref="G227" xr:uid="{33FEA935-A5CC-44E4-8B6A-1D76CD132D2B}">
      <formula1>INDIRECT(F228)</formula1>
    </dataValidation>
  </dataValidations>
  <printOptions horizontalCentered="1"/>
  <pageMargins left="0.44270833333333331" right="0.94208333333333338" top="0.74803149606299213" bottom="0.74803149606299213" header="0.31496062992125984" footer="0.31496062992125984"/>
  <pageSetup paperSize="5" scale="10" orientation="landscape" r:id="rId1"/>
  <headerFooter>
    <oddHeader xml:space="preserve">&amp;L&amp;G
&amp;C&amp;"Arial,Negrita"&amp;18
FORMATO MAPA DE RIESGOS INSTITUCIONAL
&amp;"Arial,Normal"&amp;12
CÓDIGO: DESI-FM-017
FECHA DE APLICACIÓN: ENERO  DE 2019&amp;R
VERSIÓN : 1
 </oddHeader>
    <oddFooter>&amp;L&amp;"Arial,Normal"&amp;18     Calle 26 No. 57-41 Torre 8, Pisos 7-8 CEMSA - C.P. 111321
     Pbx: 3779555 – Información: Línea 195 
     www.umv.gov.co&amp;C&amp;"Arial,Normal"&amp;18DESI-FM-017
&amp;P de &amp;N</oddFooter>
  </headerFooter>
  <rowBreaks count="1" manualBreakCount="1">
    <brk id="103" max="61"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5EAEC-8BD7-4A8E-BF63-2B8959B0A832}">
  <dimension ref="B1:C11"/>
  <sheetViews>
    <sheetView topLeftCell="B1" zoomScale="90" zoomScaleNormal="90" zoomScaleSheetLayoutView="90" workbookViewId="0">
      <selection activeCell="C8" sqref="C8"/>
    </sheetView>
  </sheetViews>
  <sheetFormatPr baseColWidth="10" defaultRowHeight="15" x14ac:dyDescent="0.25"/>
  <cols>
    <col min="1" max="1" width="3.140625" style="1" customWidth="1"/>
    <col min="2" max="2" width="27.42578125" style="1" customWidth="1"/>
    <col min="3" max="3" width="99.42578125" style="1" customWidth="1"/>
    <col min="4" max="4" width="2.42578125" style="1" customWidth="1"/>
    <col min="5" max="16384" width="11.42578125" style="1"/>
  </cols>
  <sheetData>
    <row r="1" spans="2:3" ht="27.75" customHeight="1" x14ac:dyDescent="0.25">
      <c r="B1" s="603" t="s">
        <v>296</v>
      </c>
      <c r="C1" s="604"/>
    </row>
    <row r="2" spans="2:3" x14ac:dyDescent="0.25">
      <c r="B2" s="605" t="s">
        <v>297</v>
      </c>
      <c r="C2" s="605"/>
    </row>
    <row r="3" spans="2:3" ht="59.25" customHeight="1" x14ac:dyDescent="0.25">
      <c r="B3" s="55" t="s">
        <v>298</v>
      </c>
      <c r="C3" s="56" t="s">
        <v>299</v>
      </c>
    </row>
    <row r="4" spans="2:3" ht="59.25" customHeight="1" x14ac:dyDescent="0.25">
      <c r="B4" s="55" t="s">
        <v>300</v>
      </c>
      <c r="C4" s="56" t="s">
        <v>301</v>
      </c>
    </row>
    <row r="5" spans="2:3" ht="59.25" customHeight="1" x14ac:dyDescent="0.25">
      <c r="B5" s="55" t="s">
        <v>9</v>
      </c>
      <c r="C5" s="56" t="s">
        <v>302</v>
      </c>
    </row>
    <row r="6" spans="2:3" ht="59.25" customHeight="1" x14ac:dyDescent="0.25">
      <c r="B6" s="55" t="s">
        <v>10</v>
      </c>
      <c r="C6" s="56" t="s">
        <v>303</v>
      </c>
    </row>
    <row r="7" spans="2:3" ht="59.25" customHeight="1" x14ac:dyDescent="0.25">
      <c r="B7" s="55" t="s">
        <v>304</v>
      </c>
      <c r="C7" s="56" t="s">
        <v>305</v>
      </c>
    </row>
    <row r="8" spans="2:3" ht="59.25" customHeight="1" x14ac:dyDescent="0.25">
      <c r="B8" s="55" t="s">
        <v>306</v>
      </c>
      <c r="C8" s="56" t="s">
        <v>307</v>
      </c>
    </row>
    <row r="9" spans="2:3" ht="59.25" customHeight="1" x14ac:dyDescent="0.25">
      <c r="B9" s="55" t="s">
        <v>11</v>
      </c>
      <c r="C9" s="56" t="s">
        <v>308</v>
      </c>
    </row>
    <row r="10" spans="2:3" ht="59.25" customHeight="1" x14ac:dyDescent="0.25">
      <c r="B10" s="55" t="s">
        <v>309</v>
      </c>
      <c r="C10" s="56" t="s">
        <v>310</v>
      </c>
    </row>
    <row r="11" spans="2:3" ht="59.25" customHeight="1" x14ac:dyDescent="0.25">
      <c r="B11" s="55" t="s">
        <v>311</v>
      </c>
      <c r="C11" s="56" t="s">
        <v>312</v>
      </c>
    </row>
  </sheetData>
  <mergeCells count="2">
    <mergeCell ref="B1:C1"/>
    <mergeCell ref="B2:C2"/>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C374-3D3D-4EFF-84C6-8187444EF266}">
  <dimension ref="B2:I21"/>
  <sheetViews>
    <sheetView zoomScaleNormal="100" zoomScaleSheetLayoutView="100" workbookViewId="0">
      <selection activeCell="I12" sqref="I12"/>
    </sheetView>
  </sheetViews>
  <sheetFormatPr baseColWidth="10" defaultColWidth="11.42578125" defaultRowHeight="14.25" x14ac:dyDescent="0.25"/>
  <cols>
    <col min="1" max="1" width="2.140625" style="26" customWidth="1"/>
    <col min="2" max="2" width="9.28515625" style="26" customWidth="1"/>
    <col min="3" max="3" width="30.42578125" style="26" customWidth="1"/>
    <col min="4" max="9" width="20" style="26" customWidth="1"/>
    <col min="10" max="10" width="20.28515625" style="26" customWidth="1"/>
    <col min="11" max="16384" width="11.42578125" style="26"/>
  </cols>
  <sheetData>
    <row r="2" spans="2:9" ht="18.75" customHeight="1" x14ac:dyDescent="0.25">
      <c r="B2" s="607" t="s">
        <v>3</v>
      </c>
      <c r="C2" s="607"/>
      <c r="D2" s="607"/>
      <c r="E2" s="607"/>
      <c r="F2" s="607"/>
      <c r="G2" s="607"/>
      <c r="H2" s="607"/>
      <c r="I2" s="607"/>
    </row>
    <row r="3" spans="2:9" ht="16.5" customHeight="1" x14ac:dyDescent="0.25">
      <c r="B3" s="27" t="s">
        <v>12</v>
      </c>
      <c r="C3" s="27" t="s">
        <v>13</v>
      </c>
      <c r="D3" s="608" t="s">
        <v>14</v>
      </c>
      <c r="E3" s="608"/>
      <c r="F3" s="608"/>
      <c r="G3" s="608" t="s">
        <v>15</v>
      </c>
      <c r="H3" s="608"/>
      <c r="I3" s="608"/>
    </row>
    <row r="4" spans="2:9" ht="36.75" customHeight="1" x14ac:dyDescent="0.25">
      <c r="B4" s="28">
        <v>5</v>
      </c>
      <c r="C4" s="29" t="s">
        <v>20</v>
      </c>
      <c r="D4" s="606" t="s">
        <v>187</v>
      </c>
      <c r="E4" s="606"/>
      <c r="F4" s="606"/>
      <c r="G4" s="606" t="s">
        <v>188</v>
      </c>
      <c r="H4" s="606"/>
      <c r="I4" s="606"/>
    </row>
    <row r="5" spans="2:9" ht="36.75" customHeight="1" x14ac:dyDescent="0.25">
      <c r="B5" s="28">
        <v>4</v>
      </c>
      <c r="C5" s="29" t="s">
        <v>19</v>
      </c>
      <c r="D5" s="606" t="s">
        <v>189</v>
      </c>
      <c r="E5" s="606"/>
      <c r="F5" s="606"/>
      <c r="G5" s="606" t="s">
        <v>190</v>
      </c>
      <c r="H5" s="606"/>
      <c r="I5" s="606"/>
    </row>
    <row r="6" spans="2:9" ht="36.75" customHeight="1" x14ac:dyDescent="0.25">
      <c r="B6" s="28">
        <v>3</v>
      </c>
      <c r="C6" s="29" t="s">
        <v>18</v>
      </c>
      <c r="D6" s="606" t="s">
        <v>191</v>
      </c>
      <c r="E6" s="606"/>
      <c r="F6" s="606"/>
      <c r="G6" s="606" t="s">
        <v>192</v>
      </c>
      <c r="H6" s="606"/>
      <c r="I6" s="606"/>
    </row>
    <row r="7" spans="2:9" ht="36.75" customHeight="1" x14ac:dyDescent="0.25">
      <c r="B7" s="28">
        <v>2</v>
      </c>
      <c r="C7" s="29" t="s">
        <v>17</v>
      </c>
      <c r="D7" s="606" t="s">
        <v>193</v>
      </c>
      <c r="E7" s="606"/>
      <c r="F7" s="606"/>
      <c r="G7" s="606" t="s">
        <v>194</v>
      </c>
      <c r="H7" s="606"/>
      <c r="I7" s="606"/>
    </row>
    <row r="8" spans="2:9" ht="36.75" customHeight="1" x14ac:dyDescent="0.25">
      <c r="B8" s="28">
        <v>1</v>
      </c>
      <c r="C8" s="29" t="s">
        <v>16</v>
      </c>
      <c r="D8" s="606" t="s">
        <v>195</v>
      </c>
      <c r="E8" s="606"/>
      <c r="F8" s="606"/>
      <c r="G8" s="606" t="s">
        <v>196</v>
      </c>
      <c r="H8" s="606"/>
      <c r="I8" s="606"/>
    </row>
    <row r="9" spans="2:9" ht="9" customHeight="1" x14ac:dyDescent="0.25"/>
    <row r="11" spans="2:9" ht="15" x14ac:dyDescent="0.25">
      <c r="B11" s="30" t="s">
        <v>197</v>
      </c>
      <c r="C11" s="30" t="s">
        <v>198</v>
      </c>
      <c r="D11" s="30" t="s">
        <v>199</v>
      </c>
      <c r="E11" s="30" t="s">
        <v>200</v>
      </c>
      <c r="F11" s="30" t="s">
        <v>201</v>
      </c>
      <c r="G11" s="30" t="s">
        <v>202</v>
      </c>
      <c r="H11" s="30" t="s">
        <v>203</v>
      </c>
      <c r="I11" s="30" t="s">
        <v>204</v>
      </c>
    </row>
    <row r="12" spans="2:9" ht="57" x14ac:dyDescent="0.25">
      <c r="B12" s="22">
        <v>1</v>
      </c>
      <c r="C12" s="31" t="str">
        <f>+'MAPA DE RIESGOS PROCESOS'!D11</f>
        <v>Entrega de información no confiable, verás y oportuna para la toma de decisiones de la alta dirección</v>
      </c>
      <c r="D12" s="22">
        <v>3</v>
      </c>
      <c r="E12" s="22">
        <v>2</v>
      </c>
      <c r="F12" s="22">
        <v>2</v>
      </c>
      <c r="G12" s="22">
        <v>2</v>
      </c>
      <c r="H12" s="22">
        <v>3</v>
      </c>
      <c r="I12" s="32">
        <f>AVERAGE(D12:H12)</f>
        <v>2.4</v>
      </c>
    </row>
    <row r="13" spans="2:9" ht="28.5" x14ac:dyDescent="0.25">
      <c r="B13" s="22">
        <v>2</v>
      </c>
      <c r="C13" s="31" t="str">
        <f>+'MAPA DE RIESGOS PROCESOS'!D15</f>
        <v>Inadecuada viabilización de las necesidades de inversión.</v>
      </c>
      <c r="D13" s="31"/>
      <c r="E13" s="31"/>
      <c r="F13" s="31"/>
      <c r="G13" s="31"/>
      <c r="H13" s="31"/>
      <c r="I13" s="32" t="e">
        <f t="shared" ref="I13:I21" si="0">AVERAGE(D13:H13)</f>
        <v>#DIV/0!</v>
      </c>
    </row>
    <row r="14" spans="2:9" x14ac:dyDescent="0.25">
      <c r="B14" s="22">
        <v>3</v>
      </c>
      <c r="C14" s="31" t="str">
        <f>+'MAPA DE RIESGOS PROCESOS'!D19</f>
        <v>Pérdida de disponibilidad</v>
      </c>
      <c r="D14" s="31"/>
      <c r="E14" s="31"/>
      <c r="F14" s="31"/>
      <c r="G14" s="31"/>
      <c r="H14" s="31"/>
      <c r="I14" s="32" t="e">
        <f t="shared" si="0"/>
        <v>#DIV/0!</v>
      </c>
    </row>
    <row r="15" spans="2:9" ht="71.25" x14ac:dyDescent="0.25">
      <c r="B15" s="22">
        <v>4</v>
      </c>
      <c r="C15" s="31" t="str">
        <f>+'MAPA DE RIESGOS PROCESOS'!D23</f>
        <v>Incumplimiento de todos los requerimientos de la  dimensión de innovación y gestión del conocimiento en la Entidad</v>
      </c>
      <c r="D15" s="31"/>
      <c r="E15" s="31"/>
      <c r="F15" s="31"/>
      <c r="G15" s="31"/>
      <c r="H15" s="31"/>
      <c r="I15" s="32" t="e">
        <f t="shared" si="0"/>
        <v>#DIV/0!</v>
      </c>
    </row>
    <row r="16" spans="2:9" ht="57" x14ac:dyDescent="0.25">
      <c r="B16" s="22">
        <v>5</v>
      </c>
      <c r="C16" s="31" t="str">
        <f>+'MAPA DE RIESGOS PROCESOS'!D27</f>
        <v xml:space="preserve">Baja participación de las partes interesadas en los ejercicios de rendición de cuentas y participación ciudadana. </v>
      </c>
      <c r="D16" s="31"/>
      <c r="E16" s="31"/>
      <c r="F16" s="31"/>
      <c r="G16" s="31"/>
      <c r="H16" s="31"/>
      <c r="I16" s="32" t="e">
        <f t="shared" si="0"/>
        <v>#DIV/0!</v>
      </c>
    </row>
    <row r="17" spans="2:9" ht="57" x14ac:dyDescent="0.25">
      <c r="B17" s="22">
        <v>6</v>
      </c>
      <c r="C17" s="31" t="str">
        <f>+'MAPA DE RIESGOS PROCESOS'!D31</f>
        <v>Desatención de las solicitudes (PQRSFD) o atención fuera de los términos establecidos por la normativa en la materia.</v>
      </c>
      <c r="D17" s="31"/>
      <c r="E17" s="31"/>
      <c r="F17" s="31"/>
      <c r="G17" s="31"/>
      <c r="H17" s="31"/>
      <c r="I17" s="32" t="e">
        <f t="shared" si="0"/>
        <v>#DIV/0!</v>
      </c>
    </row>
    <row r="18" spans="2:9" ht="42.75" x14ac:dyDescent="0.25">
      <c r="B18" s="22">
        <v>7</v>
      </c>
      <c r="C18" s="31" t="str">
        <f>+'MAPA DE RIESGOS PROCESOS'!D35</f>
        <v xml:space="preserve">Dar respuesta incorrecta , incompleta o contradictoria a una solicitud </v>
      </c>
      <c r="D18" s="31"/>
      <c r="E18" s="31"/>
      <c r="F18" s="31"/>
      <c r="G18" s="31"/>
      <c r="H18" s="31"/>
      <c r="I18" s="32" t="e">
        <f t="shared" si="0"/>
        <v>#DIV/0!</v>
      </c>
    </row>
    <row r="19" spans="2:9" ht="42.75" x14ac:dyDescent="0.25">
      <c r="B19" s="22">
        <v>8</v>
      </c>
      <c r="C19" s="31" t="str">
        <f>+'MAPA DE RIESGOS PROCESOS'!D39</f>
        <v xml:space="preserve">Fallas  en el Sistema de información Bogota Te escucha </v>
      </c>
      <c r="D19" s="31"/>
      <c r="E19" s="31"/>
      <c r="F19" s="31"/>
      <c r="G19" s="31"/>
      <c r="H19" s="31"/>
      <c r="I19" s="32" t="e">
        <f t="shared" si="0"/>
        <v>#DIV/0!</v>
      </c>
    </row>
    <row r="20" spans="2:9" ht="42.75" x14ac:dyDescent="0.25">
      <c r="B20" s="22">
        <v>9</v>
      </c>
      <c r="C20" s="31" t="str">
        <f>+'MAPA DE RIESGOS PROCESOS'!D43</f>
        <v>Desconocimiento del quehacer de la entidad por parte de los colaboradores de la UMV.</v>
      </c>
      <c r="D20" s="31"/>
      <c r="E20" s="31"/>
      <c r="F20" s="31"/>
      <c r="G20" s="31"/>
      <c r="H20" s="31"/>
      <c r="I20" s="32" t="e">
        <f t="shared" si="0"/>
        <v>#DIV/0!</v>
      </c>
    </row>
    <row r="21" spans="2:9" ht="156.75" x14ac:dyDescent="0.25">
      <c r="B21" s="22">
        <v>10</v>
      </c>
      <c r="C21" s="31" t="str">
        <f>+'MAPA DE RIESGOS PROCESOS'!D47</f>
        <v>Falta de documentación que dé cumplimiento a los lineamientos de MINTIC, Alta Consejería de TIC distrital, la UMV y otras entidades  reguladoras referentes a los habilitadores de seguridad de la información, ciudadano digital y arquitectura empresarial de la política nacional de Gobierno Digital.</v>
      </c>
      <c r="D21" s="31"/>
      <c r="E21" s="31"/>
      <c r="F21" s="31"/>
      <c r="G21" s="31"/>
      <c r="H21" s="31"/>
      <c r="I21" s="32" t="e">
        <f t="shared" si="0"/>
        <v>#DIV/0!</v>
      </c>
    </row>
  </sheetData>
  <mergeCells count="13">
    <mergeCell ref="D6:F6"/>
    <mergeCell ref="G6:I6"/>
    <mergeCell ref="D7:F7"/>
    <mergeCell ref="G7:I7"/>
    <mergeCell ref="D8:F8"/>
    <mergeCell ref="G8:I8"/>
    <mergeCell ref="D5:F5"/>
    <mergeCell ref="G5:I5"/>
    <mergeCell ref="B2:I2"/>
    <mergeCell ref="D3:F3"/>
    <mergeCell ref="G3:I3"/>
    <mergeCell ref="D4:F4"/>
    <mergeCell ref="G4:I4"/>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776D-AF5C-4F5E-8891-CF6049CDBFB7}">
  <sheetPr>
    <pageSetUpPr fitToPage="1"/>
  </sheetPr>
  <dimension ref="B1:D48"/>
  <sheetViews>
    <sheetView zoomScale="90" zoomScaleNormal="90" zoomScaleSheetLayoutView="80" workbookViewId="0">
      <selection activeCell="B1" sqref="B1"/>
    </sheetView>
  </sheetViews>
  <sheetFormatPr baseColWidth="10" defaultColWidth="11.42578125" defaultRowHeight="14.25" x14ac:dyDescent="0.25"/>
  <cols>
    <col min="1" max="1" width="1.7109375" style="26" customWidth="1"/>
    <col min="2" max="2" width="15" style="26" customWidth="1"/>
    <col min="3" max="4" width="55.7109375" style="26" customWidth="1"/>
    <col min="5" max="5" width="1.5703125" style="26" customWidth="1"/>
    <col min="6" max="6" width="13.140625" style="26" customWidth="1"/>
    <col min="7" max="10" width="11.42578125" style="26"/>
    <col min="11" max="11" width="11.42578125" style="26" customWidth="1"/>
    <col min="12" max="16384" width="11.42578125" style="26"/>
  </cols>
  <sheetData>
    <row r="1" spans="2:4" ht="9" customHeight="1" x14ac:dyDescent="0.25"/>
    <row r="2" spans="2:4" ht="25.5" customHeight="1" x14ac:dyDescent="0.25">
      <c r="B2" s="612" t="s">
        <v>205</v>
      </c>
      <c r="C2" s="612"/>
      <c r="D2" s="612"/>
    </row>
    <row r="3" spans="2:4" ht="47.25" customHeight="1" thickBot="1" x14ac:dyDescent="0.3">
      <c r="B3" s="57" t="s">
        <v>206</v>
      </c>
      <c r="C3" s="57" t="s">
        <v>207</v>
      </c>
      <c r="D3" s="57" t="s">
        <v>208</v>
      </c>
    </row>
    <row r="4" spans="2:4" ht="25.5" x14ac:dyDescent="0.25">
      <c r="B4" s="609" t="s">
        <v>25</v>
      </c>
      <c r="C4" s="58" t="s">
        <v>209</v>
      </c>
      <c r="D4" s="59" t="s">
        <v>210</v>
      </c>
    </row>
    <row r="5" spans="2:4" ht="25.5" x14ac:dyDescent="0.25">
      <c r="B5" s="610"/>
      <c r="C5" s="34" t="s">
        <v>211</v>
      </c>
      <c r="D5" s="60" t="s">
        <v>212</v>
      </c>
    </row>
    <row r="6" spans="2:4" ht="38.25" x14ac:dyDescent="0.25">
      <c r="B6" s="610"/>
      <c r="C6" s="35" t="s">
        <v>213</v>
      </c>
      <c r="D6" s="60" t="s">
        <v>214</v>
      </c>
    </row>
    <row r="7" spans="2:4" ht="59.25" customHeight="1" x14ac:dyDescent="0.25">
      <c r="B7" s="610"/>
      <c r="C7" s="35" t="s">
        <v>215</v>
      </c>
      <c r="D7" s="60" t="s">
        <v>216</v>
      </c>
    </row>
    <row r="8" spans="2:4" ht="31.5" customHeight="1" thickBot="1" x14ac:dyDescent="0.3">
      <c r="B8" s="611"/>
      <c r="C8" s="61"/>
      <c r="D8" s="62" t="s">
        <v>217</v>
      </c>
    </row>
    <row r="9" spans="2:4" ht="25.5" x14ac:dyDescent="0.25">
      <c r="B9" s="609" t="s">
        <v>24</v>
      </c>
      <c r="C9" s="63" t="s">
        <v>218</v>
      </c>
      <c r="D9" s="64" t="s">
        <v>219</v>
      </c>
    </row>
    <row r="10" spans="2:4" ht="25.5" x14ac:dyDescent="0.25">
      <c r="B10" s="610"/>
      <c r="C10" s="36" t="s">
        <v>220</v>
      </c>
      <c r="D10" s="65" t="s">
        <v>221</v>
      </c>
    </row>
    <row r="11" spans="2:4" ht="38.25" x14ac:dyDescent="0.25">
      <c r="B11" s="610"/>
      <c r="C11" s="36" t="s">
        <v>222</v>
      </c>
      <c r="D11" s="65" t="s">
        <v>223</v>
      </c>
    </row>
    <row r="12" spans="2:4" ht="52.5" customHeight="1" x14ac:dyDescent="0.25">
      <c r="B12" s="610"/>
      <c r="C12" s="36" t="s">
        <v>224</v>
      </c>
      <c r="D12" s="65" t="s">
        <v>225</v>
      </c>
    </row>
    <row r="13" spans="2:4" ht="39" thickBot="1" x14ac:dyDescent="0.3">
      <c r="B13" s="611"/>
      <c r="C13" s="61"/>
      <c r="D13" s="66" t="s">
        <v>226</v>
      </c>
    </row>
    <row r="14" spans="2:4" ht="29.25" customHeight="1" x14ac:dyDescent="0.25">
      <c r="B14" s="609" t="s">
        <v>23</v>
      </c>
      <c r="C14" s="67" t="s">
        <v>227</v>
      </c>
      <c r="D14" s="68" t="s">
        <v>228</v>
      </c>
    </row>
    <row r="15" spans="2:4" ht="38.25" x14ac:dyDescent="0.25">
      <c r="B15" s="610"/>
      <c r="C15" s="35" t="s">
        <v>229</v>
      </c>
      <c r="D15" s="60" t="s">
        <v>230</v>
      </c>
    </row>
    <row r="16" spans="2:4" ht="38.25" x14ac:dyDescent="0.25">
      <c r="B16" s="610"/>
      <c r="C16" s="35" t="s">
        <v>231</v>
      </c>
      <c r="D16" s="60" t="s">
        <v>232</v>
      </c>
    </row>
    <row r="17" spans="2:4" ht="38.25" x14ac:dyDescent="0.25">
      <c r="B17" s="610"/>
      <c r="C17" s="35" t="s">
        <v>233</v>
      </c>
      <c r="D17" s="60" t="s">
        <v>234</v>
      </c>
    </row>
    <row r="18" spans="2:4" ht="38.25" x14ac:dyDescent="0.25">
      <c r="B18" s="610"/>
      <c r="C18" s="36"/>
      <c r="D18" s="60" t="s">
        <v>235</v>
      </c>
    </row>
    <row r="19" spans="2:4" ht="25.5" customHeight="1" thickBot="1" x14ac:dyDescent="0.3">
      <c r="B19" s="611"/>
      <c r="C19" s="61"/>
      <c r="D19" s="62" t="s">
        <v>236</v>
      </c>
    </row>
    <row r="20" spans="2:4" ht="25.5" x14ac:dyDescent="0.25">
      <c r="B20" s="609" t="s">
        <v>22</v>
      </c>
      <c r="C20" s="63" t="s">
        <v>237</v>
      </c>
      <c r="D20" s="64" t="s">
        <v>238</v>
      </c>
    </row>
    <row r="21" spans="2:4" ht="25.5" x14ac:dyDescent="0.25">
      <c r="B21" s="610"/>
      <c r="C21" s="36" t="s">
        <v>239</v>
      </c>
      <c r="D21" s="69" t="s">
        <v>240</v>
      </c>
    </row>
    <row r="22" spans="2:4" ht="38.25" x14ac:dyDescent="0.25">
      <c r="B22" s="610"/>
      <c r="C22" s="36" t="s">
        <v>241</v>
      </c>
      <c r="D22" s="65" t="s">
        <v>242</v>
      </c>
    </row>
    <row r="23" spans="2:4" ht="39" thickBot="1" x14ac:dyDescent="0.3">
      <c r="B23" s="611"/>
      <c r="C23" s="70" t="s">
        <v>243</v>
      </c>
      <c r="D23" s="71"/>
    </row>
    <row r="24" spans="2:4" ht="28.5" customHeight="1" x14ac:dyDescent="0.25">
      <c r="B24" s="609" t="s">
        <v>21</v>
      </c>
      <c r="C24" s="67" t="s">
        <v>244</v>
      </c>
      <c r="D24" s="64" t="s">
        <v>245</v>
      </c>
    </row>
    <row r="25" spans="2:4" ht="25.5" x14ac:dyDescent="0.25">
      <c r="B25" s="610"/>
      <c r="C25" s="35" t="s">
        <v>246</v>
      </c>
      <c r="D25" s="65" t="s">
        <v>247</v>
      </c>
    </row>
    <row r="26" spans="2:4" ht="38.25" x14ac:dyDescent="0.25">
      <c r="B26" s="610"/>
      <c r="C26" s="35" t="s">
        <v>248</v>
      </c>
      <c r="D26" s="65" t="s">
        <v>249</v>
      </c>
    </row>
    <row r="27" spans="2:4" ht="53.25" customHeight="1" thickBot="1" x14ac:dyDescent="0.3">
      <c r="B27" s="611"/>
      <c r="C27" s="72" t="s">
        <v>250</v>
      </c>
      <c r="D27" s="71"/>
    </row>
    <row r="48" ht="9" customHeight="1" x14ac:dyDescent="0.25"/>
  </sheetData>
  <mergeCells count="6">
    <mergeCell ref="B24:B27"/>
    <mergeCell ref="B2:D2"/>
    <mergeCell ref="B4:B8"/>
    <mergeCell ref="B9:B13"/>
    <mergeCell ref="B14:B19"/>
    <mergeCell ref="B20:B23"/>
  </mergeCells>
  <printOptions horizontalCentered="1"/>
  <pageMargins left="0.70866141732283472" right="0.70866141732283472" top="0.74803149606299213" bottom="0.74803149606299213" header="0.31496062992125984" footer="0.3149606299212598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CA8A3-A51A-4D05-8766-04E0361C551F}">
  <sheetPr>
    <pageSetUpPr fitToPage="1"/>
  </sheetPr>
  <dimension ref="A1:G26"/>
  <sheetViews>
    <sheetView view="pageBreakPreview" zoomScale="90" zoomScaleSheetLayoutView="90" workbookViewId="0">
      <selection activeCell="J12" sqref="J12"/>
    </sheetView>
  </sheetViews>
  <sheetFormatPr baseColWidth="10" defaultColWidth="11.42578125" defaultRowHeight="14.25" x14ac:dyDescent="0.25"/>
  <cols>
    <col min="1" max="1" width="2.140625" style="26" customWidth="1"/>
    <col min="2" max="2" width="11.42578125" style="26"/>
    <col min="3" max="3" width="34.28515625" style="26" customWidth="1"/>
    <col min="4" max="4" width="36.42578125" style="26" customWidth="1"/>
    <col min="5" max="6" width="13.85546875" style="26" customWidth="1"/>
    <col min="7" max="7" width="1.5703125" style="26" customWidth="1"/>
    <col min="8" max="16384" width="11.42578125" style="26"/>
  </cols>
  <sheetData>
    <row r="1" spans="1:7" ht="11.25" customHeight="1" thickBot="1" x14ac:dyDescent="0.3">
      <c r="A1" s="73"/>
      <c r="B1" s="73"/>
      <c r="C1" s="73"/>
      <c r="D1" s="73"/>
      <c r="E1" s="73"/>
      <c r="F1" s="73"/>
      <c r="G1" s="73"/>
    </row>
    <row r="2" spans="1:7" ht="18.75" customHeight="1" thickBot="1" x14ac:dyDescent="0.3">
      <c r="B2" s="614" t="s">
        <v>66</v>
      </c>
      <c r="C2" s="615"/>
      <c r="D2" s="615"/>
      <c r="E2" s="615"/>
      <c r="F2" s="616"/>
    </row>
    <row r="3" spans="1:7" ht="15.75" customHeight="1" x14ac:dyDescent="0.25">
      <c r="B3" s="524" t="s">
        <v>26</v>
      </c>
      <c r="C3" s="525" t="s">
        <v>27</v>
      </c>
      <c r="D3" s="525"/>
      <c r="E3" s="525" t="s">
        <v>28</v>
      </c>
      <c r="F3" s="617"/>
    </row>
    <row r="4" spans="1:7" ht="15" thickBot="1" x14ac:dyDescent="0.3">
      <c r="B4" s="521"/>
      <c r="C4" s="523"/>
      <c r="D4" s="523"/>
      <c r="E4" s="54" t="s">
        <v>8</v>
      </c>
      <c r="F4" s="3" t="s">
        <v>29</v>
      </c>
    </row>
    <row r="5" spans="1:7" ht="23.25" customHeight="1" x14ac:dyDescent="0.25">
      <c r="B5" s="74">
        <v>1</v>
      </c>
      <c r="C5" s="618" t="s">
        <v>30</v>
      </c>
      <c r="D5" s="618"/>
      <c r="E5" s="75"/>
      <c r="F5" s="76"/>
    </row>
    <row r="6" spans="1:7" ht="23.25" customHeight="1" x14ac:dyDescent="0.25">
      <c r="B6" s="77">
        <v>2</v>
      </c>
      <c r="C6" s="613" t="s">
        <v>31</v>
      </c>
      <c r="D6" s="613"/>
      <c r="E6" s="78"/>
      <c r="F6" s="79"/>
    </row>
    <row r="7" spans="1:7" ht="23.25" customHeight="1" x14ac:dyDescent="0.25">
      <c r="B7" s="77">
        <v>3</v>
      </c>
      <c r="C7" s="613" t="s">
        <v>32</v>
      </c>
      <c r="D7" s="613"/>
      <c r="E7" s="78"/>
      <c r="F7" s="79"/>
    </row>
    <row r="8" spans="1:7" ht="24.75" customHeight="1" x14ac:dyDescent="0.25">
      <c r="B8" s="77">
        <v>4</v>
      </c>
      <c r="C8" s="613" t="s">
        <v>33</v>
      </c>
      <c r="D8" s="613"/>
      <c r="E8" s="78"/>
      <c r="F8" s="79"/>
    </row>
    <row r="9" spans="1:7" ht="23.25" customHeight="1" x14ac:dyDescent="0.25">
      <c r="B9" s="77">
        <v>5</v>
      </c>
      <c r="C9" s="613" t="s">
        <v>34</v>
      </c>
      <c r="D9" s="613"/>
      <c r="E9" s="78"/>
      <c r="F9" s="79"/>
    </row>
    <row r="10" spans="1:7" ht="23.25" customHeight="1" x14ac:dyDescent="0.25">
      <c r="B10" s="77">
        <v>6</v>
      </c>
      <c r="C10" s="613" t="s">
        <v>35</v>
      </c>
      <c r="D10" s="613"/>
      <c r="E10" s="78"/>
      <c r="F10" s="79"/>
    </row>
    <row r="11" spans="1:7" ht="23.25" customHeight="1" x14ac:dyDescent="0.25">
      <c r="B11" s="77">
        <v>7</v>
      </c>
      <c r="C11" s="613" t="s">
        <v>36</v>
      </c>
      <c r="D11" s="613"/>
      <c r="E11" s="78"/>
      <c r="F11" s="79"/>
    </row>
    <row r="12" spans="1:7" ht="25.5" customHeight="1" x14ac:dyDescent="0.25">
      <c r="B12" s="77">
        <v>8</v>
      </c>
      <c r="C12" s="613" t="s">
        <v>37</v>
      </c>
      <c r="D12" s="613"/>
      <c r="E12" s="78"/>
      <c r="F12" s="79"/>
    </row>
    <row r="13" spans="1:7" ht="23.25" customHeight="1" x14ac:dyDescent="0.25">
      <c r="B13" s="77">
        <v>9</v>
      </c>
      <c r="C13" s="613" t="s">
        <v>38</v>
      </c>
      <c r="D13" s="613"/>
      <c r="E13" s="78"/>
      <c r="F13" s="79"/>
    </row>
    <row r="14" spans="1:7" ht="23.25" customHeight="1" x14ac:dyDescent="0.25">
      <c r="B14" s="77">
        <v>10</v>
      </c>
      <c r="C14" s="613" t="s">
        <v>39</v>
      </c>
      <c r="D14" s="613"/>
      <c r="E14" s="78"/>
      <c r="F14" s="79"/>
    </row>
    <row r="15" spans="1:7" ht="23.25" customHeight="1" x14ac:dyDescent="0.25">
      <c r="B15" s="77">
        <v>11</v>
      </c>
      <c r="C15" s="613" t="s">
        <v>40</v>
      </c>
      <c r="D15" s="613"/>
      <c r="E15" s="78"/>
      <c r="F15" s="79"/>
    </row>
    <row r="16" spans="1:7" ht="23.25" customHeight="1" x14ac:dyDescent="0.25">
      <c r="B16" s="77">
        <v>12</v>
      </c>
      <c r="C16" s="613" t="s">
        <v>41</v>
      </c>
      <c r="D16" s="613"/>
      <c r="E16" s="78"/>
      <c r="F16" s="79"/>
    </row>
    <row r="17" spans="2:6" ht="23.25" customHeight="1" x14ac:dyDescent="0.25">
      <c r="B17" s="77">
        <v>13</v>
      </c>
      <c r="C17" s="613" t="s">
        <v>42</v>
      </c>
      <c r="D17" s="613"/>
      <c r="E17" s="78"/>
      <c r="F17" s="79"/>
    </row>
    <row r="18" spans="2:6" ht="23.25" customHeight="1" x14ac:dyDescent="0.25">
      <c r="B18" s="77">
        <v>14</v>
      </c>
      <c r="C18" s="613" t="s">
        <v>313</v>
      </c>
      <c r="D18" s="613"/>
      <c r="E18" s="78"/>
      <c r="F18" s="79"/>
    </row>
    <row r="19" spans="2:6" ht="23.25" customHeight="1" x14ac:dyDescent="0.25">
      <c r="B19" s="77">
        <v>15</v>
      </c>
      <c r="C19" s="613" t="s">
        <v>43</v>
      </c>
      <c r="D19" s="613"/>
      <c r="E19" s="78"/>
      <c r="F19" s="79"/>
    </row>
    <row r="20" spans="2:6" ht="23.25" customHeight="1" x14ac:dyDescent="0.25">
      <c r="B20" s="77">
        <v>16</v>
      </c>
      <c r="C20" s="613" t="s">
        <v>44</v>
      </c>
      <c r="D20" s="613"/>
      <c r="E20" s="78"/>
      <c r="F20" s="79"/>
    </row>
    <row r="21" spans="2:6" ht="23.25" customHeight="1" x14ac:dyDescent="0.25">
      <c r="B21" s="77">
        <v>17</v>
      </c>
      <c r="C21" s="613" t="s">
        <v>45</v>
      </c>
      <c r="D21" s="613"/>
      <c r="E21" s="78"/>
      <c r="F21" s="79"/>
    </row>
    <row r="22" spans="2:6" ht="23.25" customHeight="1" x14ac:dyDescent="0.25">
      <c r="B22" s="77">
        <v>18</v>
      </c>
      <c r="C22" s="623" t="s">
        <v>46</v>
      </c>
      <c r="D22" s="623"/>
      <c r="E22" s="78"/>
      <c r="F22" s="79"/>
    </row>
    <row r="23" spans="2:6" ht="23.25" customHeight="1" thickBot="1" x14ac:dyDescent="0.3">
      <c r="B23" s="77">
        <v>19</v>
      </c>
      <c r="C23" s="613" t="s">
        <v>314</v>
      </c>
      <c r="D23" s="613"/>
      <c r="E23" s="78"/>
      <c r="F23" s="79"/>
    </row>
    <row r="24" spans="2:6" ht="15.75" customHeight="1" thickBot="1" x14ac:dyDescent="0.3">
      <c r="B24" s="624" t="s">
        <v>65</v>
      </c>
      <c r="C24" s="619"/>
      <c r="D24" s="619"/>
      <c r="E24" s="619">
        <f>COUNTIF(E5:E23,"X")</f>
        <v>0</v>
      </c>
      <c r="F24" s="620"/>
    </row>
    <row r="25" spans="2:6" ht="45.75" customHeight="1" x14ac:dyDescent="0.25">
      <c r="B25" s="621" t="s">
        <v>315</v>
      </c>
      <c r="C25" s="621"/>
      <c r="D25" s="621"/>
      <c r="E25" s="621"/>
      <c r="F25" s="621"/>
    </row>
    <row r="26" spans="2:6" ht="9.75" customHeight="1" x14ac:dyDescent="0.25">
      <c r="B26" s="622"/>
      <c r="C26" s="622"/>
      <c r="D26" s="622"/>
      <c r="E26" s="622"/>
      <c r="F26" s="622"/>
    </row>
  </sheetData>
  <mergeCells count="27">
    <mergeCell ref="E24:F24"/>
    <mergeCell ref="B25:F25"/>
    <mergeCell ref="B26:F26"/>
    <mergeCell ref="C19:D19"/>
    <mergeCell ref="C20:D20"/>
    <mergeCell ref="C21:D21"/>
    <mergeCell ref="C22:D22"/>
    <mergeCell ref="C23:D23"/>
    <mergeCell ref="B24:D24"/>
    <mergeCell ref="C18:D18"/>
    <mergeCell ref="C7:D7"/>
    <mergeCell ref="C8:D8"/>
    <mergeCell ref="C9:D9"/>
    <mergeCell ref="C10:D10"/>
    <mergeCell ref="C11:D11"/>
    <mergeCell ref="C12:D12"/>
    <mergeCell ref="C13:D13"/>
    <mergeCell ref="C14:D14"/>
    <mergeCell ref="C15:D15"/>
    <mergeCell ref="C16:D16"/>
    <mergeCell ref="C17:D17"/>
    <mergeCell ref="C6:D6"/>
    <mergeCell ref="B2:F2"/>
    <mergeCell ref="B3:B4"/>
    <mergeCell ref="C3:D4"/>
    <mergeCell ref="E3:F3"/>
    <mergeCell ref="C5:D5"/>
  </mergeCells>
  <dataValidations count="1">
    <dataValidation type="list" allowBlank="1" showInputMessage="1" showErrorMessage="1" sqref="E5:F23" xr:uid="{FC40327B-1AA2-4B03-9F07-6DB6212163F6}">
      <formula1>"X"</formula1>
    </dataValidation>
  </dataValidations>
  <printOptions horizontalCentered="1"/>
  <pageMargins left="0.25" right="0.25"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7A22-776B-4E79-AB4F-37C9A322C768}">
  <sheetPr>
    <pageSetUpPr fitToPage="1"/>
  </sheetPr>
  <dimension ref="B1:E19"/>
  <sheetViews>
    <sheetView topLeftCell="A10" zoomScale="90" zoomScaleNormal="90" zoomScaleSheetLayoutView="80" workbookViewId="0">
      <selection activeCell="E7" sqref="E7"/>
    </sheetView>
  </sheetViews>
  <sheetFormatPr baseColWidth="10" defaultColWidth="11.42578125" defaultRowHeight="14.25" x14ac:dyDescent="0.25"/>
  <cols>
    <col min="1" max="1" width="1.7109375" style="26" customWidth="1"/>
    <col min="2" max="2" width="8.28515625" style="26" customWidth="1"/>
    <col min="3" max="3" width="15" style="26" customWidth="1"/>
    <col min="4" max="4" width="52.140625" style="26" hidden="1" customWidth="1"/>
    <col min="5" max="5" width="55.5703125" style="26" customWidth="1"/>
    <col min="6" max="6" width="1.5703125" style="26" customWidth="1"/>
    <col min="7" max="7" width="13.140625" style="26" customWidth="1"/>
    <col min="8" max="11" width="11.42578125" style="26"/>
    <col min="12" max="12" width="11.42578125" style="26" customWidth="1"/>
    <col min="13" max="16384" width="11.42578125" style="26"/>
  </cols>
  <sheetData>
    <row r="1" spans="2:5" ht="9" customHeight="1" thickBot="1" x14ac:dyDescent="0.3"/>
    <row r="2" spans="2:5" ht="25.5" customHeight="1" x14ac:dyDescent="0.25">
      <c r="B2" s="625" t="s">
        <v>251</v>
      </c>
      <c r="C2" s="626"/>
      <c r="D2" s="626"/>
      <c r="E2" s="627"/>
    </row>
    <row r="3" spans="2:5" ht="47.25" customHeight="1" thickBot="1" x14ac:dyDescent="0.3">
      <c r="B3" s="628" t="s">
        <v>252</v>
      </c>
      <c r="C3" s="629"/>
      <c r="D3" s="37" t="s">
        <v>207</v>
      </c>
      <c r="E3" s="38" t="s">
        <v>253</v>
      </c>
    </row>
    <row r="4" spans="2:5" ht="23.25" customHeight="1" x14ac:dyDescent="0.25">
      <c r="B4" s="630">
        <v>1</v>
      </c>
      <c r="C4" s="633" t="s">
        <v>21</v>
      </c>
      <c r="D4" s="39" t="s">
        <v>254</v>
      </c>
      <c r="E4" s="40" t="s">
        <v>255</v>
      </c>
    </row>
    <row r="5" spans="2:5" ht="23.25" customHeight="1" x14ac:dyDescent="0.25">
      <c r="B5" s="631"/>
      <c r="C5" s="634"/>
      <c r="D5" s="41" t="s">
        <v>256</v>
      </c>
      <c r="E5" s="42" t="s">
        <v>257</v>
      </c>
    </row>
    <row r="6" spans="2:5" ht="23.25" customHeight="1" thickBot="1" x14ac:dyDescent="0.3">
      <c r="B6" s="632"/>
      <c r="C6" s="635"/>
      <c r="D6" s="43" t="s">
        <v>258</v>
      </c>
      <c r="E6" s="44" t="s">
        <v>259</v>
      </c>
    </row>
    <row r="7" spans="2:5" ht="24" customHeight="1" x14ac:dyDescent="0.25">
      <c r="B7" s="630">
        <v>2</v>
      </c>
      <c r="C7" s="633" t="s">
        <v>22</v>
      </c>
      <c r="D7" s="39" t="s">
        <v>260</v>
      </c>
      <c r="E7" s="40" t="s">
        <v>261</v>
      </c>
    </row>
    <row r="8" spans="2:5" ht="24" customHeight="1" x14ac:dyDescent="0.25">
      <c r="B8" s="631"/>
      <c r="C8" s="634"/>
      <c r="D8" s="41" t="s">
        <v>256</v>
      </c>
      <c r="E8" s="42" t="s">
        <v>262</v>
      </c>
    </row>
    <row r="9" spans="2:5" ht="26.25" thickBot="1" x14ac:dyDescent="0.3">
      <c r="B9" s="632"/>
      <c r="C9" s="635"/>
      <c r="D9" s="43" t="s">
        <v>263</v>
      </c>
      <c r="E9" s="44" t="s">
        <v>264</v>
      </c>
    </row>
    <row r="10" spans="2:5" ht="38.25" customHeight="1" x14ac:dyDescent="0.25">
      <c r="B10" s="631">
        <v>3</v>
      </c>
      <c r="C10" s="634" t="s">
        <v>23</v>
      </c>
      <c r="D10" s="41" t="s">
        <v>260</v>
      </c>
      <c r="E10" s="33" t="s">
        <v>265</v>
      </c>
    </row>
    <row r="11" spans="2:5" ht="38.25" customHeight="1" x14ac:dyDescent="0.25">
      <c r="B11" s="631"/>
      <c r="C11" s="634"/>
      <c r="D11" s="41" t="s">
        <v>256</v>
      </c>
      <c r="E11" s="33" t="s">
        <v>266</v>
      </c>
    </row>
    <row r="12" spans="2:5" ht="38.25" customHeight="1" thickBot="1" x14ac:dyDescent="0.3">
      <c r="B12" s="631"/>
      <c r="C12" s="634"/>
      <c r="D12" s="41" t="s">
        <v>267</v>
      </c>
      <c r="E12" s="33" t="s">
        <v>268</v>
      </c>
    </row>
    <row r="13" spans="2:5" ht="39.75" customHeight="1" x14ac:dyDescent="0.25">
      <c r="B13" s="630" t="s">
        <v>269</v>
      </c>
      <c r="C13" s="633" t="s">
        <v>24</v>
      </c>
      <c r="D13" s="39" t="s">
        <v>254</v>
      </c>
      <c r="E13" s="40" t="s">
        <v>270</v>
      </c>
    </row>
    <row r="14" spans="2:5" ht="39.75" customHeight="1" x14ac:dyDescent="0.25">
      <c r="B14" s="631"/>
      <c r="C14" s="634"/>
      <c r="D14" s="41" t="s">
        <v>271</v>
      </c>
      <c r="E14" s="42" t="s">
        <v>272</v>
      </c>
    </row>
    <row r="15" spans="2:5" ht="39.75" customHeight="1" thickBot="1" x14ac:dyDescent="0.3">
      <c r="B15" s="632"/>
      <c r="C15" s="635"/>
      <c r="D15" s="43" t="s">
        <v>273</v>
      </c>
      <c r="E15" s="44" t="s">
        <v>274</v>
      </c>
    </row>
    <row r="16" spans="2:5" ht="33" customHeight="1" x14ac:dyDescent="0.25">
      <c r="B16" s="630">
        <v>5</v>
      </c>
      <c r="C16" s="633" t="s">
        <v>25</v>
      </c>
      <c r="D16" s="39" t="s">
        <v>260</v>
      </c>
      <c r="E16" s="45" t="s">
        <v>275</v>
      </c>
    </row>
    <row r="17" spans="2:5" ht="33" customHeight="1" x14ac:dyDescent="0.25">
      <c r="B17" s="631"/>
      <c r="C17" s="634"/>
      <c r="D17" s="41" t="s">
        <v>256</v>
      </c>
      <c r="E17" s="46" t="s">
        <v>276</v>
      </c>
    </row>
    <row r="18" spans="2:5" ht="33" customHeight="1" thickBot="1" x14ac:dyDescent="0.3">
      <c r="B18" s="632"/>
      <c r="C18" s="635"/>
      <c r="D18" s="43" t="s">
        <v>277</v>
      </c>
      <c r="E18" s="47" t="s">
        <v>278</v>
      </c>
    </row>
    <row r="19" spans="2:5" ht="9" customHeight="1" x14ac:dyDescent="0.25"/>
  </sheetData>
  <mergeCells count="12">
    <mergeCell ref="B10:B12"/>
    <mergeCell ref="C10:C12"/>
    <mergeCell ref="B13:B15"/>
    <mergeCell ref="C13:C15"/>
    <mergeCell ref="B16:B18"/>
    <mergeCell ref="C16:C18"/>
    <mergeCell ref="B2:E2"/>
    <mergeCell ref="B3:C3"/>
    <mergeCell ref="B4:B6"/>
    <mergeCell ref="C4:C6"/>
    <mergeCell ref="B7:B9"/>
    <mergeCell ref="C7:C9"/>
  </mergeCells>
  <printOptions horizontalCentered="1"/>
  <pageMargins left="0.70866141732283472" right="0.70866141732283472" top="0.74803149606299213" bottom="0.74803149606299213" header="0.31496062992125984" footer="0.31496062992125984"/>
  <pageSetup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1AA4-35FB-47DE-9ACD-2D56AB32726F}">
  <dimension ref="B1:F18"/>
  <sheetViews>
    <sheetView view="pageBreakPreview" zoomScaleSheetLayoutView="100" workbookViewId="0">
      <selection activeCell="B6" sqref="B6:F12"/>
    </sheetView>
  </sheetViews>
  <sheetFormatPr baseColWidth="10" defaultRowHeight="15" x14ac:dyDescent="0.25"/>
  <cols>
    <col min="1" max="1" width="2.140625" style="2" customWidth="1"/>
    <col min="2" max="2" width="11.42578125" style="2"/>
    <col min="3" max="3" width="34.28515625" style="2" customWidth="1"/>
    <col min="4" max="4" width="36.42578125" style="2" customWidth="1"/>
    <col min="5" max="6" width="13.85546875" style="2" customWidth="1"/>
    <col min="7" max="7" width="1.85546875" style="2" customWidth="1"/>
    <col min="8" max="16384" width="11.42578125" style="2"/>
  </cols>
  <sheetData>
    <row r="1" spans="2:6" ht="8.25" customHeight="1" thickBot="1" x14ac:dyDescent="0.3"/>
    <row r="2" spans="2:6" ht="13.5" customHeight="1" thickBot="1" x14ac:dyDescent="0.3">
      <c r="B2" s="636" t="s">
        <v>279</v>
      </c>
      <c r="C2" s="637"/>
      <c r="D2" s="637"/>
      <c r="E2" s="637"/>
      <c r="F2" s="638"/>
    </row>
    <row r="3" spans="2:6" ht="35.25" customHeight="1" x14ac:dyDescent="0.25">
      <c r="B3" s="639" t="s">
        <v>280</v>
      </c>
      <c r="C3" s="640"/>
      <c r="D3" s="640"/>
      <c r="E3" s="640"/>
      <c r="F3" s="641"/>
    </row>
    <row r="4" spans="2:6" ht="35.25" customHeight="1" x14ac:dyDescent="0.25">
      <c r="B4" s="642"/>
      <c r="C4" s="643"/>
      <c r="D4" s="643"/>
      <c r="E4" s="643"/>
      <c r="F4" s="644"/>
    </row>
    <row r="5" spans="2:6" ht="35.25" customHeight="1" thickBot="1" x14ac:dyDescent="0.3">
      <c r="B5" s="645"/>
      <c r="C5" s="646"/>
      <c r="D5" s="646"/>
      <c r="E5" s="646"/>
      <c r="F5" s="647"/>
    </row>
    <row r="6" spans="2:6" ht="16.5" customHeight="1" x14ac:dyDescent="0.25">
      <c r="B6" s="648" t="s">
        <v>281</v>
      </c>
      <c r="C6" s="649"/>
      <c r="D6" s="649"/>
      <c r="E6" s="649"/>
      <c r="F6" s="650"/>
    </row>
    <row r="7" spans="2:6" ht="16.5" customHeight="1" x14ac:dyDescent="0.25">
      <c r="B7" s="651"/>
      <c r="C7" s="652"/>
      <c r="D7" s="652"/>
      <c r="E7" s="652"/>
      <c r="F7" s="653"/>
    </row>
    <row r="8" spans="2:6" ht="16.5" customHeight="1" x14ac:dyDescent="0.25">
      <c r="B8" s="651"/>
      <c r="C8" s="652"/>
      <c r="D8" s="652"/>
      <c r="E8" s="652"/>
      <c r="F8" s="653"/>
    </row>
    <row r="9" spans="2:6" ht="16.5" customHeight="1" x14ac:dyDescent="0.25">
      <c r="B9" s="651"/>
      <c r="C9" s="652"/>
      <c r="D9" s="652"/>
      <c r="E9" s="652"/>
      <c r="F9" s="653"/>
    </row>
    <row r="10" spans="2:6" ht="16.5" customHeight="1" x14ac:dyDescent="0.25">
      <c r="B10" s="651"/>
      <c r="C10" s="652"/>
      <c r="D10" s="652"/>
      <c r="E10" s="652"/>
      <c r="F10" s="653"/>
    </row>
    <row r="11" spans="2:6" ht="16.5" customHeight="1" x14ac:dyDescent="0.25">
      <c r="B11" s="651"/>
      <c r="C11" s="652"/>
      <c r="D11" s="652"/>
      <c r="E11" s="652"/>
      <c r="F11" s="653"/>
    </row>
    <row r="12" spans="2:6" ht="16.5" customHeight="1" thickBot="1" x14ac:dyDescent="0.3">
      <c r="B12" s="654"/>
      <c r="C12" s="655"/>
      <c r="D12" s="655"/>
      <c r="E12" s="655"/>
      <c r="F12" s="656"/>
    </row>
    <row r="13" spans="2:6" ht="16.5" customHeight="1" x14ac:dyDescent="0.25">
      <c r="B13" s="648" t="s">
        <v>282</v>
      </c>
      <c r="C13" s="649"/>
      <c r="D13" s="649"/>
      <c r="E13" s="649"/>
      <c r="F13" s="650"/>
    </row>
    <row r="14" spans="2:6" ht="16.5" customHeight="1" x14ac:dyDescent="0.25">
      <c r="B14" s="651"/>
      <c r="C14" s="652"/>
      <c r="D14" s="652"/>
      <c r="E14" s="652"/>
      <c r="F14" s="653"/>
    </row>
    <row r="15" spans="2:6" ht="16.5" customHeight="1" x14ac:dyDescent="0.25">
      <c r="B15" s="651"/>
      <c r="C15" s="652"/>
      <c r="D15" s="652"/>
      <c r="E15" s="652"/>
      <c r="F15" s="653"/>
    </row>
    <row r="16" spans="2:6" ht="16.5" customHeight="1" x14ac:dyDescent="0.25">
      <c r="B16" s="651"/>
      <c r="C16" s="652"/>
      <c r="D16" s="652"/>
      <c r="E16" s="652"/>
      <c r="F16" s="653"/>
    </row>
    <row r="17" spans="2:6" ht="16.5" customHeight="1" thickBot="1" x14ac:dyDescent="0.3">
      <c r="B17" s="654"/>
      <c r="C17" s="655"/>
      <c r="D17" s="655"/>
      <c r="E17" s="655"/>
      <c r="F17" s="656"/>
    </row>
    <row r="18" spans="2:6" ht="7.5" customHeight="1" x14ac:dyDescent="0.25"/>
  </sheetData>
  <mergeCells count="4">
    <mergeCell ref="B2:F2"/>
    <mergeCell ref="B3:F5"/>
    <mergeCell ref="B6:F12"/>
    <mergeCell ref="B13:F17"/>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4F5C-DEEC-495D-980C-6D0DA40CADB2}">
  <dimension ref="B1:C47"/>
  <sheetViews>
    <sheetView view="pageBreakPreview" zoomScale="80" zoomScaleSheetLayoutView="80" workbookViewId="0">
      <selection activeCell="B14" sqref="B14:B21"/>
    </sheetView>
  </sheetViews>
  <sheetFormatPr baseColWidth="10" defaultRowHeight="15" x14ac:dyDescent="0.25"/>
  <cols>
    <col min="1" max="1" width="1.140625" style="4" customWidth="1"/>
    <col min="2" max="2" width="65.28515625" style="4" customWidth="1"/>
    <col min="3" max="3" width="64.42578125" style="4" customWidth="1"/>
    <col min="4" max="4" width="1.85546875" style="4" customWidth="1"/>
    <col min="5" max="16384" width="11.42578125" style="4"/>
  </cols>
  <sheetData>
    <row r="1" spans="2:3" ht="9.75" customHeight="1" thickBot="1" x14ac:dyDescent="0.3"/>
    <row r="2" spans="2:3" ht="32.25" customHeight="1" thickBot="1" x14ac:dyDescent="0.3">
      <c r="B2" s="663" t="s">
        <v>48</v>
      </c>
      <c r="C2" s="664"/>
    </row>
    <row r="3" spans="2:3" ht="27" customHeight="1" x14ac:dyDescent="0.25">
      <c r="B3" s="657" t="s">
        <v>316</v>
      </c>
      <c r="C3" s="660" t="s">
        <v>317</v>
      </c>
    </row>
    <row r="4" spans="2:3" ht="27" customHeight="1" x14ac:dyDescent="0.25">
      <c r="B4" s="658"/>
      <c r="C4" s="661"/>
    </row>
    <row r="5" spans="2:3" ht="27" customHeight="1" x14ac:dyDescent="0.25">
      <c r="B5" s="658"/>
      <c r="C5" s="661"/>
    </row>
    <row r="6" spans="2:3" ht="27" customHeight="1" thickBot="1" x14ac:dyDescent="0.3">
      <c r="B6" s="659"/>
      <c r="C6" s="662"/>
    </row>
    <row r="7" spans="2:3" ht="15.75" thickBot="1" x14ac:dyDescent="0.3"/>
    <row r="8" spans="2:3" ht="49.5" customHeight="1" x14ac:dyDescent="0.25">
      <c r="B8" s="657" t="s">
        <v>318</v>
      </c>
      <c r="C8" s="660" t="s">
        <v>319</v>
      </c>
    </row>
    <row r="9" spans="2:3" ht="15.75" customHeight="1" x14ac:dyDescent="0.25">
      <c r="B9" s="658"/>
      <c r="C9" s="661"/>
    </row>
    <row r="10" spans="2:3" ht="15.75" customHeight="1" x14ac:dyDescent="0.25">
      <c r="B10" s="658"/>
      <c r="C10" s="661"/>
    </row>
    <row r="11" spans="2:3" ht="15.75" customHeight="1" x14ac:dyDescent="0.25">
      <c r="B11" s="658"/>
      <c r="C11" s="661"/>
    </row>
    <row r="12" spans="2:3" ht="16.5" customHeight="1" thickBot="1" x14ac:dyDescent="0.3">
      <c r="B12" s="659"/>
      <c r="C12" s="662"/>
    </row>
    <row r="13" spans="2:3" ht="15.75" thickBot="1" x14ac:dyDescent="0.3"/>
    <row r="14" spans="2:3" ht="16.5" customHeight="1" x14ac:dyDescent="0.25">
      <c r="B14" s="657" t="s">
        <v>320</v>
      </c>
      <c r="C14" s="660" t="s">
        <v>321</v>
      </c>
    </row>
    <row r="15" spans="2:3" x14ac:dyDescent="0.25">
      <c r="B15" s="658"/>
      <c r="C15" s="661"/>
    </row>
    <row r="16" spans="2:3" x14ac:dyDescent="0.25">
      <c r="B16" s="658"/>
      <c r="C16" s="661"/>
    </row>
    <row r="17" spans="2:3" x14ac:dyDescent="0.25">
      <c r="B17" s="658"/>
      <c r="C17" s="661"/>
    </row>
    <row r="18" spans="2:3" x14ac:dyDescent="0.25">
      <c r="B18" s="658"/>
      <c r="C18" s="661"/>
    </row>
    <row r="19" spans="2:3" x14ac:dyDescent="0.25">
      <c r="B19" s="658"/>
      <c r="C19" s="661"/>
    </row>
    <row r="20" spans="2:3" x14ac:dyDescent="0.25">
      <c r="B20" s="658"/>
      <c r="C20" s="661"/>
    </row>
    <row r="21" spans="2:3" ht="23.25" customHeight="1" thickBot="1" x14ac:dyDescent="0.3">
      <c r="B21" s="659"/>
      <c r="C21" s="662"/>
    </row>
    <row r="22" spans="2:3" ht="15.75" thickBot="1" x14ac:dyDescent="0.3"/>
    <row r="23" spans="2:3" ht="18.75" customHeight="1" x14ac:dyDescent="0.25">
      <c r="B23" s="657" t="s">
        <v>322</v>
      </c>
      <c r="C23" s="660" t="s">
        <v>323</v>
      </c>
    </row>
    <row r="24" spans="2:3" ht="18.75" customHeight="1" x14ac:dyDescent="0.25">
      <c r="B24" s="658"/>
      <c r="C24" s="661"/>
    </row>
    <row r="25" spans="2:3" ht="18.75" customHeight="1" x14ac:dyDescent="0.25">
      <c r="B25" s="658"/>
      <c r="C25" s="661"/>
    </row>
    <row r="26" spans="2:3" ht="18.75" customHeight="1" x14ac:dyDescent="0.25">
      <c r="B26" s="658"/>
      <c r="C26" s="661"/>
    </row>
    <row r="27" spans="2:3" ht="18.75" customHeight="1" x14ac:dyDescent="0.25">
      <c r="B27" s="658"/>
      <c r="C27" s="661"/>
    </row>
    <row r="28" spans="2:3" ht="18.75" customHeight="1" x14ac:dyDescent="0.25">
      <c r="B28" s="658"/>
      <c r="C28" s="661"/>
    </row>
    <row r="29" spans="2:3" ht="18.75" customHeight="1" x14ac:dyDescent="0.25">
      <c r="B29" s="658"/>
      <c r="C29" s="661"/>
    </row>
    <row r="30" spans="2:3" ht="18.75" customHeight="1" thickBot="1" x14ac:dyDescent="0.3">
      <c r="B30" s="659"/>
      <c r="C30" s="662"/>
    </row>
    <row r="31" spans="2:3" ht="9.75" customHeight="1" x14ac:dyDescent="0.25"/>
    <row r="34" ht="18" customHeight="1" x14ac:dyDescent="0.25"/>
    <row r="37" ht="16.5" customHeight="1" x14ac:dyDescent="0.25"/>
    <row r="47" ht="16.5" customHeight="1" x14ac:dyDescent="0.25"/>
  </sheetData>
  <mergeCells count="9">
    <mergeCell ref="B23:B30"/>
    <mergeCell ref="C23:C30"/>
    <mergeCell ref="B2:C2"/>
    <mergeCell ref="B3:B6"/>
    <mergeCell ref="C3:C6"/>
    <mergeCell ref="B8:B12"/>
    <mergeCell ref="C8:C12"/>
    <mergeCell ref="B14:B21"/>
    <mergeCell ref="C14:C21"/>
  </mergeCells>
  <printOptions horizontalCentered="1"/>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27</vt:i4>
      </vt:variant>
    </vt:vector>
  </HeadingPairs>
  <TitlesOfParts>
    <vt:vector size="37" baseType="lpstr">
      <vt:lpstr>FORMULAS</vt:lpstr>
      <vt:lpstr>MAPA DE RIESGOS PROCESOS</vt:lpstr>
      <vt:lpstr>TIPOLOGÍA DE RIESGOS</vt:lpstr>
      <vt:lpstr>PROBABILIDAD</vt:lpstr>
      <vt:lpstr>IMPACTO GESTIÓN</vt:lpstr>
      <vt:lpstr>IMPACTO CORRUPCIÓN</vt:lpstr>
      <vt:lpstr>IMPACTO SEGURIDAD I</vt:lpstr>
      <vt:lpstr>EJEMPLO CONTROLES</vt:lpstr>
      <vt:lpstr>OPCIONES DE MANEJO DEL RIESGO</vt:lpstr>
      <vt:lpstr>MAPA DE CALOR</vt:lpstr>
      <vt:lpstr>Acciones_no_autorizadas</vt:lpstr>
      <vt:lpstr>'EJEMPLO CONTROLES'!Área_de_impresión</vt:lpstr>
      <vt:lpstr>'IMPACTO CORRUPCIÓN'!Área_de_impresión</vt:lpstr>
      <vt:lpstr>'IMPACTO GESTIÓN'!Área_de_impresión</vt:lpstr>
      <vt:lpstr>'IMPACTO SEGURIDAD I'!Área_de_impresión</vt:lpstr>
      <vt:lpstr>'MAPA DE CALOR'!Área_de_impresión</vt:lpstr>
      <vt:lpstr>'MAPA DE RIESGOS PROCESOS'!Área_de_impresión</vt:lpstr>
      <vt:lpstr>'OPCIONES DE MANEJO DEL RIESGO'!Área_de_impresión</vt:lpstr>
      <vt:lpstr>PROBABILIDAD!Área_de_impresión</vt:lpstr>
      <vt:lpstr>'TIPOLOGÍA DE RIESGOS'!Área_de_impresión</vt:lpstr>
      <vt:lpstr>Compromiso_de_la_informacion</vt:lpstr>
      <vt:lpstr>Compromiso_de_las_funciones</vt:lpstr>
      <vt:lpstr>Corrupcion</vt:lpstr>
      <vt:lpstr>Daño_fisico</vt:lpstr>
      <vt:lpstr>Eventos_naturales</vt:lpstr>
      <vt:lpstr>Fallas_tecnicas</vt:lpstr>
      <vt:lpstr>Gestion</vt:lpstr>
      <vt:lpstr>impacto</vt:lpstr>
      <vt:lpstr>impactocorrupcion</vt:lpstr>
      <vt:lpstr>opciondelriesgo</vt:lpstr>
      <vt:lpstr>Perdidas_de_los_servicios_esenciales</vt:lpstr>
      <vt:lpstr>Perturbacion_debida_a_la_radiacion</vt:lpstr>
      <vt:lpstr>probabilidad</vt:lpstr>
      <vt:lpstr>procesos</vt:lpstr>
      <vt:lpstr>Seguridad_de_la_informacion</vt:lpstr>
      <vt:lpstr>tipo_de_amenaza</vt:lpstr>
      <vt:lpstr>tipo_de_riesgos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Ovalle</dc:creator>
  <cp:lastModifiedBy>Christian Medina Fandiño</cp:lastModifiedBy>
  <cp:lastPrinted>2019-01-04T17:41:34Z</cp:lastPrinted>
  <dcterms:created xsi:type="dcterms:W3CDTF">2016-01-18T15:45:02Z</dcterms:created>
  <dcterms:modified xsi:type="dcterms:W3CDTF">2019-03-22T15:52:20Z</dcterms:modified>
</cp:coreProperties>
</file>